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gnesinvest-my.sharepoint.com/personal/johan_vignesinvest_fr/Documents/02_PROJETS_TRANSVERSAUX/E01_KANOPEA/"/>
    </mc:Choice>
  </mc:AlternateContent>
  <xr:revisionPtr revIDLastSave="14944" documentId="8_{7C532603-3CBA-469C-AD3F-803F3F62EC8C}" xr6:coauthVersionLast="47" xr6:coauthVersionMax="47" xr10:uidLastSave="{AE66AC1C-1BB3-4230-B112-E9D1697A2CA6}"/>
  <bookViews>
    <workbookView xWindow="-30828" yWindow="-108" windowWidth="30936" windowHeight="18696" firstSheet="2" activeTab="4" xr2:uid="{EFF58FC3-C20B-4A28-87A3-FDD1ADA86D6A}"/>
  </bookViews>
  <sheets>
    <sheet name="Synthèse V5" sheetId="9" r:id="rId1"/>
    <sheet name="Plan Investissement" sheetId="1" r:id="rId2"/>
    <sheet name="Phasage Investissement" sheetId="2" r:id="rId3"/>
    <sheet name="Calendrier Ouverture" sheetId="7" r:id="rId4"/>
    <sheet name="Prévisionnel Revenus" sheetId="3" r:id="rId5"/>
    <sheet name="Revenus Phase 1" sheetId="5" r:id="rId6"/>
    <sheet name="Personnel" sheetId="6" r:id="rId7"/>
    <sheet name="Bloc Hiver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C25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6" i="9"/>
  <c r="C16" i="9"/>
  <c r="F13" i="9"/>
  <c r="E13" i="9"/>
  <c r="D13" i="9"/>
  <c r="C13" i="9"/>
  <c r="B13" i="9"/>
  <c r="F12" i="9"/>
  <c r="E12" i="9"/>
  <c r="D12" i="9"/>
  <c r="C12" i="9"/>
  <c r="B12" i="9"/>
  <c r="F11" i="9"/>
  <c r="E11" i="9"/>
  <c r="D11" i="9"/>
  <c r="C11" i="9"/>
  <c r="B11" i="9"/>
  <c r="B8" i="9"/>
  <c r="B7" i="9"/>
  <c r="B6" i="9"/>
  <c r="B5" i="9"/>
  <c r="B4" i="9"/>
  <c r="B22" i="8"/>
  <c r="B20" i="8"/>
  <c r="B19" i="8"/>
  <c r="B18" i="8"/>
  <c r="B17" i="8"/>
  <c r="B14" i="8"/>
  <c r="B13" i="8"/>
  <c r="B12" i="8"/>
  <c r="B11" i="8"/>
  <c r="B10" i="8"/>
  <c r="B9" i="8"/>
  <c r="B6" i="8"/>
  <c r="F85" i="6"/>
  <c r="E85" i="6"/>
  <c r="D85" i="6"/>
  <c r="C85" i="6"/>
  <c r="B85" i="6"/>
  <c r="F84" i="6"/>
  <c r="E84" i="6"/>
  <c r="D84" i="6"/>
  <c r="C84" i="6"/>
  <c r="B84" i="6"/>
  <c r="F83" i="6"/>
  <c r="E83" i="6"/>
  <c r="D83" i="6"/>
  <c r="C83" i="6"/>
  <c r="B83" i="6"/>
  <c r="F60" i="6"/>
  <c r="F59" i="6"/>
  <c r="F58" i="6"/>
  <c r="F57" i="6"/>
  <c r="F56" i="6"/>
  <c r="F55" i="6"/>
  <c r="F54" i="6"/>
  <c r="F53" i="6"/>
  <c r="F52" i="6"/>
  <c r="F51" i="6"/>
  <c r="C48" i="6"/>
  <c r="C47" i="6"/>
  <c r="F78" i="6"/>
  <c r="F77" i="6"/>
  <c r="E77" i="6"/>
  <c r="F76" i="6"/>
  <c r="E76" i="6"/>
  <c r="F75" i="6"/>
  <c r="E75" i="6"/>
  <c r="F74" i="6"/>
  <c r="E74" i="6"/>
  <c r="F73" i="6"/>
  <c r="E73" i="6"/>
  <c r="F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20" i="5"/>
  <c r="E20" i="5"/>
  <c r="D20" i="5"/>
  <c r="C20" i="5"/>
  <c r="B20" i="5"/>
  <c r="B17" i="5"/>
  <c r="F15" i="5"/>
  <c r="E15" i="5"/>
  <c r="D15" i="5"/>
  <c r="C15" i="5"/>
  <c r="B15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7" i="5"/>
  <c r="E7" i="5"/>
  <c r="D7" i="5"/>
  <c r="C7" i="5"/>
  <c r="B7" i="5"/>
  <c r="F6" i="5"/>
  <c r="E6" i="5"/>
  <c r="D6" i="5"/>
  <c r="C6" i="5"/>
  <c r="B6" i="5"/>
  <c r="F5" i="5"/>
  <c r="E5" i="5"/>
  <c r="D5" i="5"/>
  <c r="C5" i="5"/>
  <c r="B5" i="5"/>
  <c r="F56" i="3"/>
  <c r="E56" i="3"/>
  <c r="D56" i="3"/>
  <c r="C56" i="3"/>
  <c r="B56" i="3"/>
  <c r="F54" i="3"/>
  <c r="E54" i="3"/>
  <c r="D54" i="3"/>
  <c r="C54" i="3"/>
  <c r="B54" i="3"/>
  <c r="F53" i="3"/>
  <c r="E53" i="3"/>
  <c r="D53" i="3"/>
  <c r="C53" i="3"/>
  <c r="F52" i="3"/>
  <c r="C52" i="3"/>
  <c r="B52" i="3"/>
  <c r="F50" i="3"/>
  <c r="E50" i="3"/>
  <c r="D50" i="3"/>
  <c r="C50" i="3"/>
  <c r="B50" i="3"/>
  <c r="F49" i="3"/>
  <c r="E49" i="3"/>
  <c r="D49" i="3"/>
  <c r="C49" i="3"/>
  <c r="B49" i="3"/>
  <c r="F48" i="3"/>
  <c r="E48" i="3"/>
  <c r="D48" i="3"/>
  <c r="C48" i="3"/>
  <c r="B48" i="3"/>
  <c r="F47" i="3"/>
  <c r="E47" i="3"/>
  <c r="D47" i="3"/>
  <c r="C47" i="3"/>
  <c r="B47" i="3"/>
  <c r="F46" i="3"/>
  <c r="E46" i="3"/>
  <c r="D46" i="3"/>
  <c r="C46" i="3"/>
  <c r="B46" i="3"/>
  <c r="F45" i="3"/>
  <c r="E45" i="3"/>
  <c r="D45" i="3"/>
  <c r="C45" i="3"/>
  <c r="B45" i="3"/>
  <c r="F44" i="3"/>
  <c r="E44" i="3"/>
  <c r="D44" i="3"/>
  <c r="C44" i="3"/>
  <c r="B44" i="3"/>
  <c r="F43" i="3"/>
  <c r="E43" i="3"/>
  <c r="D43" i="3"/>
  <c r="C43" i="3"/>
  <c r="B43" i="3"/>
  <c r="F42" i="3"/>
  <c r="E42" i="3"/>
  <c r="D42" i="3"/>
  <c r="C42" i="3"/>
  <c r="B42" i="3"/>
  <c r="F41" i="3"/>
  <c r="E41" i="3"/>
  <c r="D41" i="3"/>
  <c r="C41" i="3"/>
  <c r="B41" i="3"/>
  <c r="F40" i="3"/>
  <c r="E40" i="3"/>
  <c r="D40" i="3"/>
  <c r="C40" i="3"/>
  <c r="B40" i="3"/>
  <c r="G40" i="3"/>
  <c r="F37" i="3"/>
  <c r="E37" i="3"/>
  <c r="D37" i="3"/>
  <c r="C37" i="3"/>
  <c r="B37" i="3"/>
  <c r="F36" i="3"/>
  <c r="E36" i="3"/>
  <c r="D36" i="3"/>
  <c r="C36" i="3"/>
  <c r="F35" i="3"/>
  <c r="E35" i="3"/>
  <c r="D35" i="3"/>
  <c r="C35" i="3"/>
  <c r="B35" i="3"/>
  <c r="C34" i="3"/>
  <c r="F32" i="3"/>
  <c r="E32" i="3"/>
  <c r="D32" i="3"/>
  <c r="C32" i="3"/>
  <c r="B32" i="3"/>
  <c r="F31" i="3"/>
  <c r="E31" i="3"/>
  <c r="D31" i="3"/>
  <c r="C31" i="3"/>
  <c r="B31" i="3"/>
  <c r="G31" i="3"/>
  <c r="F30" i="3"/>
  <c r="E30" i="3"/>
  <c r="D30" i="3"/>
  <c r="C30" i="3"/>
  <c r="B30" i="3"/>
  <c r="F29" i="3"/>
  <c r="E29" i="3"/>
  <c r="F27" i="3"/>
  <c r="E27" i="3"/>
  <c r="D27" i="3"/>
  <c r="C27" i="3"/>
  <c r="B27" i="3"/>
  <c r="F26" i="3"/>
  <c r="E26" i="3"/>
  <c r="D26" i="3"/>
  <c r="C26" i="3"/>
  <c r="B26" i="3"/>
  <c r="F25" i="3"/>
  <c r="E25" i="3"/>
  <c r="D25" i="3"/>
  <c r="C25" i="3"/>
  <c r="B25" i="3"/>
  <c r="F24" i="3"/>
  <c r="E24" i="3"/>
  <c r="D24" i="3"/>
  <c r="C24" i="3"/>
  <c r="B24" i="3"/>
  <c r="G24" i="3"/>
  <c r="E23" i="3"/>
  <c r="D23" i="3"/>
  <c r="C23" i="3"/>
  <c r="B20" i="3"/>
  <c r="B19" i="3"/>
  <c r="B18" i="3"/>
  <c r="B17" i="3"/>
  <c r="F7" i="3"/>
  <c r="E7" i="3"/>
  <c r="D7" i="3"/>
  <c r="C7" i="3"/>
  <c r="B7" i="3"/>
  <c r="F6" i="3"/>
  <c r="E6" i="3"/>
  <c r="D6" i="3"/>
  <c r="C6" i="3"/>
  <c r="B6" i="3"/>
  <c r="E62" i="2"/>
  <c r="D62" i="2"/>
  <c r="C62" i="2"/>
  <c r="F61" i="2"/>
  <c r="E61" i="2"/>
  <c r="D61" i="2"/>
  <c r="C61" i="2"/>
  <c r="B61" i="2"/>
  <c r="F59" i="2"/>
  <c r="B59" i="2"/>
  <c r="F58" i="2"/>
  <c r="B58" i="2"/>
  <c r="F57" i="2"/>
  <c r="B57" i="2"/>
  <c r="F56" i="2"/>
  <c r="B56" i="2"/>
  <c r="F55" i="2"/>
  <c r="B55" i="2"/>
  <c r="F54" i="2"/>
  <c r="B54" i="2"/>
  <c r="F53" i="2"/>
  <c r="B53" i="2"/>
  <c r="E52" i="2"/>
  <c r="D52" i="2"/>
  <c r="C52" i="2"/>
  <c r="B52" i="2"/>
  <c r="F50" i="2"/>
  <c r="B50" i="2"/>
  <c r="F49" i="2"/>
  <c r="B49" i="2"/>
  <c r="F48" i="2"/>
  <c r="B48" i="2"/>
  <c r="F47" i="2"/>
  <c r="B47" i="2"/>
  <c r="F46" i="2"/>
  <c r="B46" i="2"/>
  <c r="F45" i="2"/>
  <c r="B45" i="2"/>
  <c r="E44" i="2"/>
  <c r="D44" i="2"/>
  <c r="C44" i="2"/>
  <c r="B44" i="2"/>
  <c r="F42" i="2"/>
  <c r="B42" i="2"/>
  <c r="F41" i="2"/>
  <c r="B41" i="2"/>
  <c r="F40" i="2"/>
  <c r="B40" i="2"/>
  <c r="F39" i="2"/>
  <c r="B39" i="2"/>
  <c r="E38" i="2"/>
  <c r="D38" i="2"/>
  <c r="C38" i="2"/>
  <c r="B38" i="2"/>
  <c r="F36" i="2"/>
  <c r="B36" i="2"/>
  <c r="F35" i="2"/>
  <c r="B35" i="2"/>
  <c r="F34" i="2"/>
  <c r="B34" i="2"/>
  <c r="F33" i="2"/>
  <c r="B33" i="2"/>
  <c r="F32" i="2"/>
  <c r="B32" i="2"/>
  <c r="F31" i="2"/>
  <c r="B31" i="2"/>
  <c r="F30" i="2"/>
  <c r="B30" i="2"/>
  <c r="F29" i="2"/>
  <c r="B29" i="2"/>
  <c r="F28" i="2"/>
  <c r="B28" i="2"/>
  <c r="E27" i="2"/>
  <c r="D27" i="2"/>
  <c r="C27" i="2"/>
  <c r="B27" i="2"/>
  <c r="F25" i="2"/>
  <c r="B25" i="2"/>
  <c r="F24" i="2"/>
  <c r="B24" i="2"/>
  <c r="F23" i="2"/>
  <c r="B23" i="2"/>
  <c r="F22" i="2"/>
  <c r="B22" i="2"/>
  <c r="E21" i="2"/>
  <c r="D21" i="2"/>
  <c r="C21" i="2"/>
  <c r="B21" i="2"/>
  <c r="F19" i="2"/>
  <c r="B19" i="2"/>
  <c r="F18" i="2"/>
  <c r="B18" i="2"/>
  <c r="F17" i="2"/>
  <c r="B17" i="2"/>
  <c r="F16" i="2"/>
  <c r="B16" i="2"/>
  <c r="F15" i="2"/>
  <c r="B15" i="2"/>
  <c r="F14" i="2"/>
  <c r="B14" i="2"/>
  <c r="F13" i="2"/>
  <c r="B13" i="2"/>
  <c r="E12" i="2"/>
  <c r="D12" i="2"/>
  <c r="C12" i="2"/>
  <c r="B12" i="2"/>
  <c r="F10" i="2"/>
  <c r="B10" i="2"/>
  <c r="F9" i="2"/>
  <c r="B9" i="2"/>
  <c r="F8" i="2"/>
  <c r="B8" i="2"/>
  <c r="F7" i="2"/>
  <c r="B7" i="2"/>
  <c r="F6" i="2"/>
  <c r="B6" i="2"/>
  <c r="F5" i="2"/>
  <c r="B5" i="2"/>
  <c r="E4" i="2"/>
  <c r="D4" i="2"/>
  <c r="C4" i="2"/>
  <c r="B4" i="2"/>
  <c r="B76" i="1"/>
  <c r="B75" i="1"/>
  <c r="C72" i="1"/>
  <c r="B72" i="1"/>
  <c r="C71" i="1"/>
  <c r="B71" i="1"/>
  <c r="B70" i="1"/>
  <c r="B69" i="1"/>
  <c r="B68" i="1"/>
  <c r="B67" i="1"/>
  <c r="B66" i="1"/>
  <c r="B65" i="1"/>
  <c r="D61" i="1"/>
  <c r="D52" i="1"/>
  <c r="D44" i="1"/>
  <c r="D38" i="1"/>
  <c r="D27" i="1"/>
  <c r="D21" i="1"/>
  <c r="D12" i="1"/>
  <c r="D4" i="1"/>
  <c r="B28" i="7"/>
  <c r="F25" i="7"/>
  <c r="E25" i="7"/>
  <c r="D25" i="7"/>
  <c r="C25" i="7"/>
  <c r="B25" i="7"/>
  <c r="F24" i="7"/>
  <c r="F23" i="7"/>
  <c r="F22" i="7"/>
  <c r="F21" i="7"/>
  <c r="F20" i="7"/>
  <c r="F19" i="7"/>
  <c r="F18" i="7"/>
  <c r="C14" i="7"/>
  <c r="B14" i="7"/>
  <c r="C13" i="7"/>
  <c r="B13" i="7"/>
  <c r="C12" i="7"/>
  <c r="B12" i="7"/>
  <c r="C11" i="7"/>
  <c r="B11" i="7"/>
  <c r="F44" i="6"/>
  <c r="E44" i="6"/>
  <c r="F43" i="6"/>
  <c r="E43" i="6"/>
  <c r="F42" i="6"/>
  <c r="E42" i="6"/>
  <c r="F41" i="6"/>
  <c r="E41" i="6"/>
  <c r="F40" i="6"/>
  <c r="E40" i="6"/>
  <c r="F39" i="6"/>
  <c r="E39" i="6"/>
  <c r="E36" i="6"/>
  <c r="E35" i="6"/>
  <c r="F32" i="6"/>
  <c r="E32" i="6"/>
  <c r="E31" i="6"/>
  <c r="E30" i="6"/>
  <c r="E29" i="6"/>
  <c r="E28" i="6"/>
  <c r="E25" i="6"/>
  <c r="E24" i="6"/>
  <c r="F21" i="6"/>
  <c r="E21" i="6"/>
  <c r="F20" i="6"/>
  <c r="E20" i="6"/>
  <c r="E19" i="6"/>
  <c r="E18" i="6"/>
  <c r="E17" i="6"/>
  <c r="E16" i="6"/>
  <c r="E13" i="6"/>
  <c r="F12" i="6"/>
  <c r="E12" i="6"/>
  <c r="E11" i="6"/>
  <c r="F10" i="6"/>
  <c r="E10" i="6"/>
  <c r="F31" i="6" l="1"/>
  <c r="F9" i="6"/>
  <c r="F36" i="6"/>
  <c r="F35" i="6"/>
  <c r="F34" i="6" s="1"/>
  <c r="F24" i="6"/>
  <c r="F23" i="6" s="1"/>
  <c r="F13" i="6"/>
  <c r="F11" i="6"/>
  <c r="F30" i="6"/>
  <c r="F29" i="6"/>
  <c r="F28" i="6"/>
  <c r="F25" i="6"/>
  <c r="F19" i="6"/>
  <c r="F18" i="6"/>
  <c r="F17" i="6"/>
  <c r="F16" i="6"/>
  <c r="E52" i="3"/>
  <c r="D52" i="3"/>
  <c r="B39" i="3"/>
  <c r="E39" i="3"/>
  <c r="F39" i="3"/>
  <c r="D39" i="3"/>
  <c r="C39" i="3"/>
  <c r="D34" i="3"/>
  <c r="F34" i="3"/>
  <c r="E34" i="3"/>
  <c r="B34" i="3"/>
  <c r="D29" i="3"/>
  <c r="C29" i="3"/>
  <c r="B29" i="3"/>
  <c r="F23" i="3"/>
  <c r="B23" i="3"/>
  <c r="F52" i="2"/>
  <c r="F44" i="2"/>
  <c r="F38" i="2"/>
  <c r="F27" i="2"/>
  <c r="F21" i="2"/>
  <c r="F12" i="2"/>
  <c r="F4" i="2"/>
  <c r="C67" i="1"/>
  <c r="C66" i="1"/>
  <c r="C65" i="1"/>
  <c r="C70" i="1"/>
  <c r="C69" i="1"/>
  <c r="C68" i="1"/>
  <c r="F38" i="6"/>
  <c r="F15" i="6"/>
  <c r="F2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L'ollierou</author>
  </authors>
  <commentList>
    <comment ref="B16" authorId="0" shapeId="0" xr:uid="{6F2B541F-DFF2-4F6C-B1AA-C9D9F58A1B8B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Repère V4 communiqué.</t>
        </r>
      </text>
    </comment>
    <comment ref="B18" authorId="0" shapeId="0" xr:uid="{DC763800-BD25-4CBE-B6F4-CCC93581CCB4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Repère V4 communiqué.</t>
        </r>
      </text>
    </comment>
    <comment ref="B19" authorId="0" shapeId="0" xr:uid="{39B91D2F-9404-4D84-9FBC-06AF4B7780D5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Repère V4 communiqué.</t>
        </r>
      </text>
    </comment>
    <comment ref="B20" authorId="0" shapeId="0" xr:uid="{B1BE6D39-335E-413C-94E9-1C59C474C2F0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Repère V4 communiqué.</t>
        </r>
      </text>
    </comment>
    <comment ref="B21" authorId="0" shapeId="0" xr:uid="{0FCEEF88-FD79-44E4-85BD-5FF0F3F9650A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Repère V4 communiqué.</t>
        </r>
      </text>
    </comment>
    <comment ref="B22" authorId="0" shapeId="0" xr:uid="{347A26EC-EFED-4010-AFB1-56EA3E471281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Repère V4 communiqué.</t>
        </r>
      </text>
    </comment>
    <comment ref="B23" authorId="0" shapeId="0" xr:uid="{102187CC-53BC-4514-9860-4067C37A7A8D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Repère V4 communiqué.</t>
        </r>
      </text>
    </comment>
    <comment ref="B24" authorId="0" shapeId="0" xr:uid="{1CF97A2B-845F-4037-B641-09A3ADB4B8F9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Repère V4 communiqué.</t>
        </r>
      </text>
    </comment>
    <comment ref="B25" authorId="0" shapeId="0" xr:uid="{72597ED0-B35B-4B67-BDF1-329ED6063CEB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Repère V4 communiqué.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L'ollierou</author>
  </authors>
  <commentList>
    <comment ref="C10" authorId="0" shapeId="0" xr:uid="{EA5FD305-88ED-455C-B4C4-61EF717D61A6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estimation V5. Zone de glisse 2 toboggans + 2 pistes à bouées, circuit fermé indépendant du lagon. Porte le Pôle 1 de 1,38 M€ à ~2,0 M€.</t>
        </r>
      </text>
    </comment>
    <comment ref="C18" authorId="0" shapeId="0" xr:uid="{F8DA68E5-03AE-47B1-9A1F-5C1D831B4DFD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estimation V5. Parcours accrobranche complet (structures, EPI, sécurité).</t>
        </r>
      </text>
    </comment>
    <comment ref="C19" authorId="0" shapeId="0" xr:uid="{336F82C4-C700-442D-961E-F316AD041C9A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estimation V5. 4 terrains de padel à ~70 k€ pièce.</t>
        </r>
      </text>
    </comment>
    <comment ref="C45" authorId="0" shapeId="0" xr:uid="{4AEE8EEA-BF59-4237-981C-6D4CD9FD64EB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estimation V5. Aménagement superette de première nécessité.</t>
        </r>
      </text>
    </comment>
    <comment ref="C46" authorId="0" shapeId="0" xr:uid="{5FA00FEE-BCFB-419F-A147-47F57105B5E7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estimation V5. Emplacements BBQ ombragés loués aux visiteurs.</t>
        </r>
      </text>
    </comment>
    <comment ref="C47" authorId="0" shapeId="0" xr:uid="{CEE4BE12-29FF-4266-A375-D7F918C545D6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estimation V5. Parking premium (points d'eau + prises élec.).</t>
        </r>
      </text>
    </comment>
    <comment ref="C48" authorId="0" shapeId="0" xr:uid="{C28403CF-2BE9-44F5-874A-9FE9D15F4D6A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estimation V5. Conception mascotte + stock initial merchandising.</t>
        </r>
      </text>
    </comment>
    <comment ref="C49" authorId="0" shapeId="0" xr:uid="{FAD1FD91-0220-47B8-9BF6-5EFE70923C93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estimation V5. Esplanade festival/scène ~5 000 personnes + base technique.</t>
        </r>
      </text>
    </comment>
    <comment ref="C50" authorId="0" shapeId="0" xr:uid="{A4AFB516-ECB5-40CD-8825-F248C1F669DA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estimation V5. Manèges en propriété pour l'exploitation hivernale.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L'ollierou</author>
  </authors>
  <commentList>
    <comment ref="B16" authorId="0" shapeId="0" xr:uid="{71580DD8-C1DC-4829-A44E-782050B74888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mix adultes/enfants estimé (70/30). Sert au calcul des prix moyens pondérés (entrée, restaurant, accrobranche).</t>
        </r>
      </text>
    </comment>
    <comment ref="G27" authorId="0" shapeId="0" xr:uid="{EFC6B98B-0E85-4F7F-A3C0-2028851FE2DC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prix supplément glisse estimé 8€. Hypothèse : accès glisse en SUPPLÉMENT de l'entrée (à confirmer : inclus ou non).</t>
        </r>
      </text>
    </comment>
    <comment ref="H27" authorId="0" shapeId="0" xr:uid="{9DF8DD05-7757-4A5F-9917-9C45230020A1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taux de captation glisse estimé 30% des visiteurs.</t>
        </r>
      </text>
    </comment>
    <comment ref="H31" authorId="0" shapeId="0" xr:uid="{DBEAA940-4BC8-4498-B130-6EF68643A38E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taux de captation accrobranche estimé 15% des visiteurs.</t>
        </r>
      </text>
    </comment>
    <comment ref="G32" authorId="0" shapeId="0" xr:uid="{28973416-79A0-4A20-91D0-82CD7927202A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prix horaire/terrain estimé 33€ (fourchette 30-36€).</t>
        </r>
      </text>
    </comment>
    <comment ref="H32" authorId="0" shapeId="0" xr:uid="{53649815-57FB-4842-8198-2AE53CDCC21D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taux d'occupation padel : heures louées/terrain/jour estimées 4→5 (An1) → 8 (An5) sur 4 terrains.</t>
        </r>
      </text>
    </comment>
    <comment ref="B36" authorId="0" shapeId="0" xr:uid="{6123275F-6ABF-4E9C-A958-757A47670879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Cueillette construite en Phase 2 (An1), opérationnelle à partir de l'An2.</t>
        </r>
      </text>
    </comment>
    <comment ref="G44" authorId="0" shapeId="0" xr:uid="{4A7265BD-B7F6-4E82-9EAC-45D7E78B21E7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panier moyen merchandising estimé 15€ (peluches, mugs, porte-clés, serviettes).</t>
        </r>
      </text>
    </comment>
    <comment ref="H44" authorId="0" shapeId="0" xr:uid="{2E93FCB3-961D-4EEB-AC6D-217B8416813D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taux d'achat merchandising estimé 12% des visiteurs.</t>
        </r>
      </text>
    </comment>
    <comment ref="G46" authorId="0" shapeId="0" xr:uid="{2383390C-4990-4C64-B852-D66FDB457510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prix moyen formule anniversaire estimé 250€ (groupe enfants).</t>
        </r>
      </text>
    </comment>
    <comment ref="H46" authorId="0" shapeId="0" xr:uid="{85C10D4F-1EB0-43BF-940A-6FC7CBDFCF07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nb formules anniversaire/an estimé 150 (An1) → 550 (An5).</t>
        </r>
      </text>
    </comment>
    <comment ref="G47" authorId="0" shapeId="0" xr:uid="{221CFEC5-6C86-4CAB-915D-362C41983018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recette moyenne/soirée estimée 12 500€ (fourchette 10 000-15 000€).</t>
        </r>
      </text>
    </comment>
    <comment ref="H47" authorId="0" shapeId="0" xr:uid="{0F61FCEB-54B5-47F3-8515-E6F8A37D35F7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nb soirées/saison : 12 (An1, minimum) → 32 (An5).</t>
        </r>
      </text>
    </comment>
    <comment ref="G48" authorId="0" shapeId="0" xr:uid="{7B6C9400-897B-4787-B9D9-9C1DDCA6ED75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panier moyen superette estimé 8€.</t>
        </r>
      </text>
    </comment>
    <comment ref="H48" authorId="0" shapeId="0" xr:uid="{8BBD88D1-C18D-4899-A1B5-7C95787BC2D5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% visiteurs achetant en superette estimé 15%.</t>
        </r>
      </text>
    </comment>
    <comment ref="G49" authorId="0" shapeId="0" xr:uid="{732B007D-2BA2-432D-97E5-A843EA877F6B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tarif location emplacement BBQ estimé 25€ (table bois + barbecue).</t>
        </r>
      </text>
    </comment>
    <comment ref="H49" authorId="0" shapeId="0" xr:uid="{E4A16616-72C4-46CD-8A8C-8854F7324DB1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nb emplacements BBQ loués/jour estimé 12 (An1) → 26 (An5).</t>
        </r>
      </text>
    </comment>
    <comment ref="G50" authorId="0" shapeId="0" xr:uid="{8E539EE3-BFDD-458C-9980-2ECF1DCD0757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tarif parking premium estimé 6,50€ (fourchette 5-8€).</t>
        </r>
      </text>
    </comment>
    <comment ref="H50" authorId="0" shapeId="0" xr:uid="{EFBA1C44-9353-49AD-A5F2-AAF1DE8545AB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nb emplacements premium occupés/jour estimé 15 (An1) → 35 (An5).</t>
        </r>
      </text>
    </comment>
    <comment ref="B53" authorId="0" shapeId="0" xr:uid="{13395C38-8FF6-48AE-8C84-72D73FEA4AEB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Cottages construits en Phase 2 (An1), opérationnels à partir de l'An2.</t>
        </r>
      </text>
    </comment>
    <comment ref="G53" authorId="0" shapeId="0" xr:uid="{A57C4764-90A5-49E2-981E-0B5A24BF9EFE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prix moyen/nuit pondéré 208€ (mix 60% cottage 4 pers à 180€ + 40% cottage 6 pers à 250€).</t>
        </r>
      </text>
    </comment>
    <comment ref="H53" authorId="0" shapeId="0" xr:uid="{90BC2114-266E-4CD2-97FA-966E8EED4113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nuits commercialisées/cottage : 100 (An2) → 130 (An5) ; remplissage 80% → 90% (saison étendue).</t>
        </r>
      </text>
    </comment>
    <comment ref="G54" authorId="0" shapeId="0" xr:uid="{3C09564B-D3D0-4C11-8B39-D609E6666F37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OPTION pass annuel (type Astérix/Disney), prix estimé 89€. À confirmer : modèle et impact sur l'entrée à l'unité.</t>
        </r>
      </text>
    </comment>
    <comment ref="H54" authorId="0" shapeId="0" xr:uid="{09614EFC-53D8-451F-A413-A8EA789356EF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nb pass annuels vendus estimé 500 (An1) → 2000 (An5).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L'ollierou</author>
  </authors>
  <commentList>
    <comment ref="B72" authorId="0" shapeId="0" xr:uid="{4B94983B-8CC4-4237-AD18-7F77EECD364B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durée d'exploitation hivernale estimée (3 mois, nov.→janv.).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L'ollierou</author>
  </authors>
  <commentList>
    <comment ref="B4" authorId="0" shapeId="0" xr:uid="{53D8960D-3630-41E0-A134-28EF858EBF3F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jours d'ouverture hiver estimés (week-ends nov.-déc. + vacances de Noël).</t>
        </r>
      </text>
    </comment>
    <comment ref="B5" authorId="0" shapeId="0" xr:uid="{DA8F3813-2724-433D-AC10-572686125150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fréquentation hiver totale estimée (marché de Noël, patinoire, illuminations).</t>
        </r>
      </text>
    </comment>
    <comment ref="C9" authorId="0" shapeId="0" xr:uid="{CA730C09-BDAA-467C-8589-FCEC199B4A21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prix billet patinoire.</t>
        </r>
      </text>
    </comment>
    <comment ref="D9" authorId="0" shapeId="0" xr:uid="{C25DC2D3-4DEE-42B2-9B9D-D4DBA8869653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taux de captation patinoire.</t>
        </r>
      </text>
    </comment>
    <comment ref="C10" authorId="0" shapeId="0" xr:uid="{B0F8702C-DC93-4F10-83B3-83AAA4BFB355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panier moyen jetons/manèges.</t>
        </r>
      </text>
    </comment>
    <comment ref="D10" authorId="0" shapeId="0" xr:uid="{033C2B99-A1F7-4C45-AF5D-56E6111E0018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taux de captation manèges.</t>
        </r>
      </text>
    </comment>
    <comment ref="C11" authorId="0" shapeId="0" xr:uid="{87A2C107-EE69-4963-8E75-6078A8A905B0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prix entrée hiver / illuminations.</t>
        </r>
      </text>
    </comment>
    <comment ref="D11" authorId="0" shapeId="0" xr:uid="{5B8B00C7-A455-4C3A-BC0D-CA70E0EE05E5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part de visiteurs payant l'entrée hiver.</t>
        </r>
      </text>
    </comment>
    <comment ref="C12" authorId="0" shapeId="0" xr:uid="{4CB2E0FB-0FA6-4513-842C-2F35E1860A42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revenu locatif forfaitaire saison (grande roue louée à un forain, capex nul).</t>
        </r>
      </text>
    </comment>
    <comment ref="C13" authorId="0" shapeId="0" xr:uid="{603E6F74-9EB0-4869-BC6A-B817539288C5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loyer par chalet sur la saison.</t>
        </r>
      </text>
    </comment>
    <comment ref="D13" authorId="0" shapeId="0" xr:uid="{6EB804F1-F058-4675-AE64-7476637BD8D8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nombre de chalets loués.</t>
        </r>
      </text>
    </comment>
    <comment ref="C17" authorId="0" shapeId="0" xr:uid="{F0CE5E9B-55F0-4363-9DB8-FD5969E690FF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coût de location saisonnière de la patinoire.</t>
        </r>
      </text>
    </comment>
    <comment ref="C19" authorId="0" shapeId="0" xr:uid="{61519E08-23FD-498D-81D7-4AA403B7DA2D}">
      <text>
        <r>
          <rPr>
            <b/>
            <sz val="9"/>
            <color indexed="81"/>
            <rFont val="Tahoma"/>
          </rPr>
          <t>Johan L'ollierou:</t>
        </r>
        <r>
          <rPr>
            <sz val="9"/>
            <color indexed="81"/>
            <rFont val="Tahoma"/>
          </rPr>
          <t xml:space="preserve">
À VALIDER — énergie, illuminations et coûts d'exploitation hiver.</t>
        </r>
      </text>
    </comment>
  </commentList>
</comments>
</file>

<file path=xl/sharedStrings.xml><?xml version="1.0" encoding="utf-8"?>
<sst xmlns="http://schemas.openxmlformats.org/spreadsheetml/2006/main" count="643" uniqueCount="517">
  <si>
    <t>Pôle / Poste d'investissement</t>
  </si>
  <si>
    <t>Détail</t>
  </si>
  <si>
    <t>Coût estimé (€ HT)</t>
  </si>
  <si>
    <t>Sous-total Pôle (€ HT)</t>
  </si>
  <si>
    <t xml:space="preserve">   Vestiaires / Sanitaires zone aquatique</t>
  </si>
  <si>
    <t>Construction modulaire, douches, casiers, accessibilité PMR</t>
  </si>
  <si>
    <t xml:space="preserve">   Aménagement paysager zone Oasis</t>
  </si>
  <si>
    <t xml:space="preserve">   Cuisine centrale / Laboratoire</t>
  </si>
  <si>
    <t>Construction, équipement professionnel CHR, extraction, chambre froide</t>
  </si>
  <si>
    <t xml:space="preserve">   Licence IV &amp; mise en conformité</t>
  </si>
  <si>
    <t>Acquisition licence débit de boissons, mise aux normes ERP</t>
  </si>
  <si>
    <t xml:space="preserve">   Sono, éclairage scénique &amp; ambiance nocturne</t>
  </si>
  <si>
    <t>Système son extérieur, jeux de lumière, mapping, brumisateurs</t>
  </si>
  <si>
    <t xml:space="preserve">   Bloc sanitaire commun hébergements</t>
  </si>
  <si>
    <t>Douches, WC, lavabos, eau chaude solaire, accessibilité PMR</t>
  </si>
  <si>
    <t xml:space="preserve">   Réseaux VRD zone Village</t>
  </si>
  <si>
    <t>Eau potable, assainissement, électricité, éclairage extérieur, chemins</t>
  </si>
  <si>
    <t xml:space="preserve">   Aménagement paysager &amp; ambiance village</t>
  </si>
  <si>
    <t>Construction légère, cloisons mobiles, mobilier, climatisation</t>
  </si>
  <si>
    <t xml:space="preserve">   Équipement audiovisuel &amp; visio</t>
  </si>
  <si>
    <t>Écran géant, vidéoprojecteur, sono, visioconférence, Wi-Fi haut débit</t>
  </si>
  <si>
    <t xml:space="preserve">   Modules team-building outdoor</t>
  </si>
  <si>
    <t xml:space="preserve">   Billetterie &amp; système de gestion</t>
  </si>
  <si>
    <t>Logiciel billetterie, bornes, bracelets RFID, CRM, site web</t>
  </si>
  <si>
    <t>INVESTISSEMENTS TRANSVERSAUX</t>
  </si>
  <si>
    <t>Terrassement, revêtement stabilisé, marquage, éclairage</t>
  </si>
  <si>
    <t xml:space="preserve">   Voiries internes &amp; chemins piétons</t>
  </si>
  <si>
    <t>Allées stabilisées, passerelles bois, rampes PMR</t>
  </si>
  <si>
    <t xml:space="preserve">   Réseaux VRD généraux</t>
  </si>
  <si>
    <t>Eau, électricité (TGBT), assainissement, fibre optique</t>
  </si>
  <si>
    <t xml:space="preserve">   Sécurité &amp; vidéosurveillance</t>
  </si>
  <si>
    <t xml:space="preserve">   Frais administratifs &amp; juridiques</t>
  </si>
  <si>
    <t>Permis de construire, ICPE, assurances chantier, notaire, avocat</t>
  </si>
  <si>
    <t xml:space="preserve">   Communication &amp; lancement</t>
  </si>
  <si>
    <t>Identité visuelle, site web, réseaux sociaux, RP, événement inauguration</t>
  </si>
  <si>
    <t>TOTAL</t>
  </si>
  <si>
    <t xml:space="preserve">   Parking visiteurs (300 places)</t>
  </si>
  <si>
    <t>BET</t>
  </si>
  <si>
    <t>Poste d'investissement</t>
  </si>
  <si>
    <t>Total (€ HT)</t>
  </si>
  <si>
    <t>Vérif.</t>
  </si>
  <si>
    <t xml:space="preserve">   Signalétique et thématisation zone Aventure</t>
  </si>
  <si>
    <t>TOTAL PAR PHASE</t>
  </si>
  <si>
    <t>% du total</t>
  </si>
  <si>
    <t>DESCRIPTION DES PHASES</t>
  </si>
  <si>
    <t>Phase 1 (Année 0)</t>
  </si>
  <si>
    <t>Phase 2 (Année 1)</t>
  </si>
  <si>
    <t>Phase 3 (Année 2)</t>
  </si>
  <si>
    <t>EPI</t>
  </si>
  <si>
    <t>HYPOTHÈSES CLÉS</t>
  </si>
  <si>
    <t>An 1</t>
  </si>
  <si>
    <t>An 2</t>
  </si>
  <si>
    <t>An 3</t>
  </si>
  <si>
    <t>An 4</t>
  </si>
  <si>
    <t>An 5</t>
  </si>
  <si>
    <t>CHIFFRE D'AFFAIRES PAR PÔLE (€ HT)</t>
  </si>
  <si>
    <t xml:space="preserve">   Cabanas VIP (10 unités)</t>
  </si>
  <si>
    <t xml:space="preserve">   Ventes boissons &amp; cocktails</t>
  </si>
  <si>
    <t xml:space="preserve">   Séminaires &amp; team-building (B2B)</t>
  </si>
  <si>
    <t xml:space="preserve">   Événements privés (mariages, soirées)</t>
  </si>
  <si>
    <t>Terrassement, étanchéité, filtration naturelle, plages de sable, terrasses panoramiques</t>
  </si>
  <si>
    <t xml:space="preserve">   Piscine VIP + Mini-rivière (espace Premium)</t>
  </si>
  <si>
    <t>Bassin premium relié au lagon, mini-rivière à courant, filtration, normes ARS</t>
  </si>
  <si>
    <t xml:space="preserve">   Cabanas VIP privées (x10)</t>
  </si>
  <si>
    <t>Structures bois haut de gamme, mobilier lounge, rideaux, éclairage d'ambiance</t>
  </si>
  <si>
    <t>Plantations tropicales, enrochement, éclairage d'ambiance, chemin piéton</t>
  </si>
  <si>
    <t>Panneaux bois sculptés, totems, balisage parcours, éclairage chemin</t>
  </si>
  <si>
    <t>Plantations variétés rares, sentiers pédagogiques, signalétique, mobilier repos</t>
  </si>
  <si>
    <t xml:space="preserve">   Mini-Ferme &amp; Promenades à poney</t>
  </si>
  <si>
    <t xml:space="preserve">   Cinéma en plein air (séances vendredis)</t>
  </si>
  <si>
    <t xml:space="preserve">   Aménagement paysager zone Nature</t>
  </si>
  <si>
    <t>Chemins sensoriels, clôtures naturelles, éclairage doux, bancs, fontaines</t>
  </si>
  <si>
    <t xml:space="preserve">   Street-Food au bord du lagon</t>
  </si>
  <si>
    <t>Kiosques bois, équipement cuisson (burgers, tacos, crêpes, glaces, salades bio)</t>
  </si>
  <si>
    <t xml:space="preserve">   Sunset Lounge &amp; DJ Set</t>
  </si>
  <si>
    <t>Bar premium, sono DJ, éclairage guirlandes, mobilier lounge, verrerie cocktails</t>
  </si>
  <si>
    <t>Aménagement boutique bois, présentoirs, caisse, déco, stock initial produits locaux</t>
  </si>
  <si>
    <t>Construction bois, isolation, plomberie, mobilier thématisé, terrasse bardage</t>
  </si>
  <si>
    <t>Palissades bois, végétalisation, éclairage chemin, feux de camp, déco Far West</t>
  </si>
  <si>
    <t>Caméras, contrôle d'accès, alarme incendie, PC sécurité</t>
  </si>
  <si>
    <t xml:space="preserve">   Études, architecte &amp; maîtrise d'œuvre (ICPE, BET)</t>
  </si>
  <si>
    <t>Architecte paysagiste, BET structure, étude d'impact ICPE, géomètre</t>
  </si>
  <si>
    <t>ICPE</t>
  </si>
  <si>
    <t>Installations Classées pour la Protection de l'Environnement</t>
  </si>
  <si>
    <t>Bureau d'Études Techniques (structure, fluides, électricité)</t>
  </si>
  <si>
    <t>Équipements de Protection Individuelle (harnais, casques, etc.)</t>
  </si>
  <si>
    <t>VRD</t>
  </si>
  <si>
    <t>Voirie et Réseaux Divers (eau, électricité, assainissement)</t>
  </si>
  <si>
    <t>CHR</t>
  </si>
  <si>
    <t>Cafés, Hôtels, Restaurants (équipement professionnel)</t>
  </si>
  <si>
    <t>ERP</t>
  </si>
  <si>
    <t>Établissement Recevant du Public (normes de sécurité)</t>
  </si>
  <si>
    <t>⛰️  PÔLE 2 — AVENTURE &amp; SPORTS EN PLEIN AIR</t>
  </si>
  <si>
    <t>🌿  PÔLE 3 — ÉVEIL NATURE, DÉTENTE &amp; FAMILLE</t>
  </si>
  <si>
    <t>🍽️  PÔLE 4 — GASTRONOMIE, AMBIANCE NOCTURNE &amp; ÉVÉNEMENTIEL</t>
  </si>
  <si>
    <t>🏕️  PÔLE 5 — IMMERSION &amp; HÉBERGEMENTS INSOLITES</t>
  </si>
  <si>
    <t>⚙️  INVESTISSEMENTS TRANSVERSAUX</t>
  </si>
  <si>
    <t>💰  TOTAL INVESTISSEMENT HT</t>
  </si>
  <si>
    <t>⬜  Investissements Transversaux</t>
  </si>
  <si>
    <t>Parcours, ateliers collaboratifs, matériel spécifique</t>
  </si>
  <si>
    <t xml:space="preserve">   Salle polyvalente / Orangerie</t>
  </si>
  <si>
    <t xml:space="preserve">   General Store — Accueil &amp; Boutique goodies</t>
  </si>
  <si>
    <t xml:space="preserve">   Communication &amp; lancement (Vignes Com)</t>
  </si>
  <si>
    <t xml:space="preserve">   Grand Jardin Botanique &amp; Serre couverte</t>
  </si>
  <si>
    <t xml:space="preserve">   Cueillette (fruits &amp; légumes de saison)</t>
  </si>
  <si>
    <t xml:space="preserve">   Mini Golf thématisé (18 pistes)</t>
  </si>
  <si>
    <t>🔮  PHASE ULTÉRIEURE — Investissements différés</t>
  </si>
  <si>
    <t>Pôle d'origine</t>
  </si>
  <si>
    <t>À chiffrer</t>
  </si>
  <si>
    <t>Pôle 1</t>
  </si>
  <si>
    <t>Pôle 4</t>
  </si>
  <si>
    <t>🌊  PÔLE 1 — L'OASIS AQUATIQUE</t>
  </si>
  <si>
    <t>🟦  Pôle 1 — Oasis Aquatique</t>
  </si>
  <si>
    <t>PÔLE 1 — OASIS AQUATIQUE</t>
  </si>
  <si>
    <t>PÔLE 3 — ÉVEIL NATURE, DÉTENTE &amp; FAMILLE</t>
  </si>
  <si>
    <t xml:space="preserve">   Grand Jardin Botanique &amp; Serre</t>
  </si>
  <si>
    <t xml:space="preserve">   Cueillette (fruits &amp; légumes)</t>
  </si>
  <si>
    <t>PÔLE 4 — GASTRONOMIE, NOCTURNE &amp; ÉVÉNEMENTIEL</t>
  </si>
  <si>
    <t>PÔLE 5 — IMMERSION &amp; HÉBERGEMENTS INSOLITES</t>
  </si>
  <si>
    <t>Pôle 1 — Oasis Aquatique</t>
  </si>
  <si>
    <t>Pôle 3 — Éveil Nature, Détente &amp; Famille</t>
  </si>
  <si>
    <t>Pôle 4 — Gastronomie, Nocturne &amp; Événementiel</t>
  </si>
  <si>
    <t xml:space="preserve">   General Store (boutique)</t>
  </si>
  <si>
    <t xml:space="preserve">   Cottages Far West avec terrasse (x40)</t>
  </si>
  <si>
    <t>HYPOTHÈSES</t>
  </si>
  <si>
    <t>Durée saison (mois)</t>
  </si>
  <si>
    <t>Charges patronales (saisonniers)</t>
  </si>
  <si>
    <t>Pôle</t>
  </si>
  <si>
    <t>Poste</t>
  </si>
  <si>
    <t>Effectif</t>
  </si>
  <si>
    <t>Type contrat</t>
  </si>
  <si>
    <t>ENCADREMENT</t>
  </si>
  <si>
    <t>Direction</t>
  </si>
  <si>
    <t>Responsable événement &amp; hébergement / séminaire</t>
  </si>
  <si>
    <t>Saisonnier 5 mois</t>
  </si>
  <si>
    <t>Responsable marketing &amp; communication</t>
  </si>
  <si>
    <t>Responsable restauration &amp; bar</t>
  </si>
  <si>
    <t>Responsable parc &amp; activités</t>
  </si>
  <si>
    <t>Hébergement</t>
  </si>
  <si>
    <t>Hôtesse d'accueil</t>
  </si>
  <si>
    <t>Bagagiste</t>
  </si>
  <si>
    <t>Gouvernante</t>
  </si>
  <si>
    <t>Technique</t>
  </si>
  <si>
    <t>Paysagiste</t>
  </si>
  <si>
    <t>SÉCURITÉ</t>
  </si>
  <si>
    <t>Sécurité</t>
  </si>
  <si>
    <t>Agent de sécurité jour</t>
  </si>
  <si>
    <t>Agent de sécurité nuit</t>
  </si>
  <si>
    <t>Saisonnier 5 mois (majoration nuit)</t>
  </si>
  <si>
    <t>RESTAURATION</t>
  </si>
  <si>
    <t>Restauration</t>
  </si>
  <si>
    <t>Chef de cuisine</t>
  </si>
  <si>
    <t>Cuisinier / second</t>
  </si>
  <si>
    <t>Plongeur</t>
  </si>
  <si>
    <t>Serveur / serveuse</t>
  </si>
  <si>
    <t>Barman</t>
  </si>
  <si>
    <t>RÉCAPITULATIF PAR PÔLE</t>
  </si>
  <si>
    <t>Encadrement (4 responsables)</t>
  </si>
  <si>
    <t>Sécurité (jour + nuit)</t>
  </si>
  <si>
    <t>Ménage / valet de chambre / Restaurant</t>
  </si>
  <si>
    <t>Entretien technique / Animaux</t>
  </si>
  <si>
    <t xml:space="preserve">   Pétanque (2 terrains)</t>
  </si>
  <si>
    <t>Terrains stabilisés, bordures, éclairage, jeux de boules, râtelier, ardoise score</t>
  </si>
  <si>
    <t xml:space="preserve">   Ping-Pong (2 tables extérieures)</t>
  </si>
  <si>
    <t>Tables outdoor anti-vandalisme, raquettes, balles, sol amortissant</t>
  </si>
  <si>
    <t xml:space="preserve">   Échec géant</t>
  </si>
  <si>
    <t>Plateau géant extérieur (4×4 m), pièces XXL résine, dalles antidérapantes</t>
  </si>
  <si>
    <t xml:space="preserve">   Spa, Hammam &amp; Sauna</t>
  </si>
  <si>
    <t xml:space="preserve">   Lagon naturel 4 500 m² (prof. 40 cm)</t>
  </si>
  <si>
    <t>RÈGLES D'OUVERTURE</t>
  </si>
  <si>
    <t>Juillet &amp; Août</t>
  </si>
  <si>
    <t>Ouverture 7j/7 (haute saison)</t>
  </si>
  <si>
    <t>Mercredi / Vendredi / Samedi / Dimanche</t>
  </si>
  <si>
    <t>Période</t>
  </si>
  <si>
    <t>Début</t>
  </si>
  <si>
    <t>Fin</t>
  </si>
  <si>
    <t>Zone</t>
  </si>
  <si>
    <t>Printemps Zone B (Oise)</t>
  </si>
  <si>
    <t>B</t>
  </si>
  <si>
    <t>Printemps Zone C (Val d'Oise)</t>
  </si>
  <si>
    <t>C</t>
  </si>
  <si>
    <t>Vacances d'été (toutes zones)</t>
  </si>
  <si>
    <t>A/B/C</t>
  </si>
  <si>
    <t>Mois</t>
  </si>
  <si>
    <t>Jours total</t>
  </si>
  <si>
    <t>Régulier (Mer/Ven/Sam/Dim)</t>
  </si>
  <si>
    <t>Vacances scolaires</t>
  </si>
  <si>
    <t>Été 7j/7</t>
  </si>
  <si>
    <t>Total ouverts</t>
  </si>
  <si>
    <t>Mai</t>
  </si>
  <si>
    <t>Juin</t>
  </si>
  <si>
    <t>Juillet</t>
  </si>
  <si>
    <t>Août</t>
  </si>
  <si>
    <t>Septembre</t>
  </si>
  <si>
    <t>TOTAL SAISON</t>
  </si>
  <si>
    <t>Jours d'ouverture / saison</t>
  </si>
  <si>
    <t>PÔLE BIEN-ÊTRE</t>
  </si>
  <si>
    <t>Bien-être</t>
  </si>
  <si>
    <t>Praticien spa / esthéticienne</t>
  </si>
  <si>
    <t>Masseur / praticien hammam</t>
  </si>
  <si>
    <t>RENFORTS ÉTÉ (juillet-août 7j/7)</t>
  </si>
  <si>
    <t>Hôtesse d'accueil (renfort)</t>
  </si>
  <si>
    <t>Ménage / valet de chambre (renfort)</t>
  </si>
  <si>
    <t>Cuisinier (renfort)</t>
  </si>
  <si>
    <t>Serveur / serveuse (renfort)</t>
  </si>
  <si>
    <t>Agent de sécurité jour (renfort)</t>
  </si>
  <si>
    <t>Praticien spa (renfort)</t>
  </si>
  <si>
    <t>CDD 2 mois (juil-août)</t>
  </si>
  <si>
    <t>Bien-être (Spa, Hammam)</t>
  </si>
  <si>
    <t>Renforts été (juillet-août)</t>
  </si>
  <si>
    <t>VACANCES SCOLAIRES 2025</t>
  </si>
  <si>
    <t>RÉFÉRENCES POUR LES AUTRES ONGLETS</t>
  </si>
  <si>
    <t>PLAN D'INVESTISSEMENT</t>
  </si>
  <si>
    <t>Cabine spa, hammam vapeur, sauna finlandais, douches sensorielles, salle de repos</t>
  </si>
  <si>
    <t>Parcours 18 pistes paysagées, obstacles, éclairage nocturne, clubs et balles, caisse</t>
  </si>
  <si>
    <t>Parcelles cultivées, serres, paniers, signalétique, point de pesée et caisse</t>
  </si>
  <si>
    <t>Enclos, abris animaux, clôtures, poneys, alimentation, vétérinaire</t>
  </si>
  <si>
    <t>Montant (€ HT)</t>
  </si>
  <si>
    <t>⬛  Pôle 5 — Immersion &amp; Hébergements</t>
  </si>
  <si>
    <t>GLOSSAIRE</t>
  </si>
  <si>
    <t>Coût estimé</t>
  </si>
  <si>
    <t>Écran gonflable géant, vidéoprojecteur HD, sono, assises, licences films</t>
  </si>
  <si>
    <t>PHASAGE DE L'INVESTISSEMENT</t>
  </si>
  <si>
    <t>Phase 1 — Année 0</t>
  </si>
  <si>
    <t>Phase 2 — Année 1</t>
  </si>
  <si>
    <t>Phase 3 — Année 2</t>
  </si>
  <si>
    <t xml:space="preserve">   Lagon naturel 4 500 m²</t>
  </si>
  <si>
    <t>PÔLE 2 — AVENTURE &amp; SPORTS</t>
  </si>
  <si>
    <t xml:space="preserve">   Ping-Pong (2 tables)</t>
  </si>
  <si>
    <t xml:space="preserve">   Signalétique zone Aventure</t>
  </si>
  <si>
    <t xml:space="preserve">   Sono, éclairage scénique</t>
  </si>
  <si>
    <t xml:space="preserve">   General Store</t>
  </si>
  <si>
    <t xml:space="preserve">   Cottages Far West (x40)</t>
  </si>
  <si>
    <t xml:space="preserve">   Bloc sanitaire commun</t>
  </si>
  <si>
    <t xml:space="preserve">   Aménagement paysager village</t>
  </si>
  <si>
    <t xml:space="preserve">   Voiries internes &amp; chemins</t>
  </si>
  <si>
    <t xml:space="preserve">   Études, architecte, MOE</t>
  </si>
  <si>
    <t>Paramètre</t>
  </si>
  <si>
    <t>Visiteurs moyens / jour</t>
  </si>
  <si>
    <t>Fréquentation annuelle</t>
  </si>
  <si>
    <t>Méthode</t>
  </si>
  <si>
    <t>Pôle 2 — Aventure &amp; Sports</t>
  </si>
  <si>
    <t xml:space="preserve">   Jardin Botanique &amp; Serre</t>
  </si>
  <si>
    <t>Pôle 5 — Immersion &amp; Hébergements</t>
  </si>
  <si>
    <t xml:space="preserve">   Cottages Far West (40 unités, ouv. An2)</t>
  </si>
  <si>
    <t>REVENUS PHASE 1 — Périmètre Année 0 (Ouverture estivale)</t>
  </si>
  <si>
    <t>HYPOTHÈSES CLÉS — liées au Prévisionnel Revenus</t>
  </si>
  <si>
    <t>CHIFFRE D'AFFAIRES — PÉRIMÈTRE PHASE 1 (€ HT)</t>
  </si>
  <si>
    <t>Note</t>
  </si>
  <si>
    <t>Lagon, Cabanas, Spa — opérationnel dès An 1</t>
  </si>
  <si>
    <t>Mini Golf uniquement — signalétique en Phase 3</t>
  </si>
  <si>
    <t>Pôle 3 — Éveil Nature (hors cueillette)</t>
  </si>
  <si>
    <t>Jardin + Mini-Ferme — cueillette en Phase 2</t>
  </si>
  <si>
    <t>Pôle 4 — Gastronomie &amp; Événementiel</t>
  </si>
  <si>
    <t>Restaurant, bar, séminaires, boutique, événements</t>
  </si>
  <si>
    <t>CA TOTAL PÉRIMÈTRE PHASE 1</t>
  </si>
  <si>
    <t>INVESTISSEMENT PHASE 1 (réf. Phasage)</t>
  </si>
  <si>
    <t>RETOUR SUR INVESTISSEMENT INDICATIF</t>
  </si>
  <si>
    <t>Ratio CA / Investissement Phase 1</t>
  </si>
  <si>
    <t>⚠️ Note : Ce tableau présente uniquement les revenus du périmètre Phase 1. Les revenus complets (cottages, cueillette) figurent sur 'Prévisionnel Revenus'.</t>
  </si>
  <si>
    <t>Durée renforts été (mois)</t>
  </si>
  <si>
    <t>Salaire brut mensuel (€)</t>
  </si>
  <si>
    <t>Coût total saison (€)</t>
  </si>
  <si>
    <t>PÔLE HÉBERGEMENT &amp; TECHNIQUE</t>
  </si>
  <si>
    <t>Pôle Hébergement &amp; Technique</t>
  </si>
  <si>
    <t>CALENDRIER D'OUVERTURE V5 — Saison étendue Avril → Octobre (+ Bloc Hiver séparé)</t>
  </si>
  <si>
    <t>Vacances scolaires (zones B Oise &amp; C Val d'Oise)</t>
  </si>
  <si>
    <t>Ouverture 7j/7 sur toute la durée des vacances</t>
  </si>
  <si>
    <t>Hors vacances (mai, juin, sept., oct.)</t>
  </si>
  <si>
    <t>Bornes de saison</t>
  </si>
  <si>
    <t>Des vacances de printemps (avril) aux vacances de Toussaint (octobre)</t>
  </si>
  <si>
    <t>Toussaint (toutes zones)</t>
  </si>
  <si>
    <t>SYNTHÈSE PAR MOIS — SAISON V5</t>
  </si>
  <si>
    <t>Avril (dès vac. printemps)</t>
  </si>
  <si>
    <t>Octobre (jusqu'à fin Toussaint)</t>
  </si>
  <si>
    <t>Note : C18:E24 découlent des règles d'ouverture appliquées au calendrier 2025. B28 (=F25) est la référence reprise par les autres onglets.</t>
  </si>
  <si>
    <t xml:space="preserve">   Zone de glisse (2 toboggans + 2 pistes à bouées)</t>
  </si>
  <si>
    <t>Structure 30 m × 20 m, CIRCUIT D'EAU FERMÉ indépendant accolé au lagon — pompes, filtration dédiée, réception bouées</t>
  </si>
  <si>
    <t xml:space="preserve">   Parcours accrobranche</t>
  </si>
  <si>
    <t>Parcours dans les arbres multi-niveaux, EPI (harnais/casques), ligne de vie, plateformes, filets</t>
  </si>
  <si>
    <t xml:space="preserve">   Padel — 4 terrains couverts</t>
  </si>
  <si>
    <t>4 terrains de padel (structure, vitrage, gazon synthétique, éclairage) ~70 k€/terrain</t>
  </si>
  <si>
    <t>🎪  PÔLE 6 — NOUVEAUTÉS V5 &amp; POLYVALENT</t>
  </si>
  <si>
    <t xml:space="preserve">   Superette de première nécessité (aménagement)</t>
  </si>
  <si>
    <t>Local, rayonnages, chaîne du froid, caisse, premier stock — dépannage campeurs/cottages</t>
  </si>
  <si>
    <t xml:space="preserve">   Emplacements BBQ ombragés (à louer)</t>
  </si>
  <si>
    <t>Tables bois + barbecues fixes, pergolas/ombrières, points d'eau, sécurité incendie</t>
  </si>
  <si>
    <t xml:space="preserve">   Aménagement parking premium</t>
  </si>
  <si>
    <t>Emplacements premium avec point d'eau + prise électrique (camping-cars / vans)</t>
  </si>
  <si>
    <t xml:space="preserve">   Conception + stock initial mascotte &amp; merchandising</t>
  </si>
  <si>
    <t>Création mascotte, costumes, moules peluches, premier stock (peluches, mugs, porte-clés, serviettes)</t>
  </si>
  <si>
    <t xml:space="preserve">   Esplanade festival/scène (~5 000 pers.)</t>
  </si>
  <si>
    <t>Esplanade plane drainée, base technique scène (alim. élec., raccordements, régie), éclairage</t>
  </si>
  <si>
    <t xml:space="preserve">   Manèges en propriété (exploitation hiver)</t>
  </si>
  <si>
    <t>Quelques manèges acquis en propriété (exploités en saison + bloc hiver), local technique</t>
  </si>
  <si>
    <t>🟫  Pôle 2 — Aventure &amp; Sports</t>
  </si>
  <si>
    <t>🟩  Pôle 3 — Éveil Nature, Détente &amp; Famille</t>
  </si>
  <si>
    <t>🟧  Pôle 4 — Gastronomie, Nocturne &amp; Événementiel</t>
  </si>
  <si>
    <t>🟨  Pôle 6 — Nouveautés V5 &amp; Polyvalent</t>
  </si>
  <si>
    <t>Cible communiquée (direction)</t>
  </si>
  <si>
    <t>Écart vs cible</t>
  </si>
  <si>
    <t>Écart %</t>
  </si>
  <si>
    <t>Total V5 supérieur à la cible 6,3 M€ (ajouts aquatique + aventure + Pôle 6) — à arbitrer.</t>
  </si>
  <si>
    <t xml:space="preserve">   Patinoire glace 1 000 m² → traitée en LOCATION (voir Bloc Hiver)</t>
  </si>
  <si>
    <t>En V5 la patinoire est louée à la saison (charge de location), capex nul — voir feuille Bloc Hiver</t>
  </si>
  <si>
    <t>Location</t>
  </si>
  <si>
    <t>Hiver</t>
  </si>
  <si>
    <t xml:space="preserve">   Zone de glisse (toboggans + bouées)</t>
  </si>
  <si>
    <t>PÔLE 6 — NOUVEAUTÉS V5 &amp; POLYVALENT</t>
  </si>
  <si>
    <t xml:space="preserve">   Superette de première nécessité</t>
  </si>
  <si>
    <t xml:space="preserve">   Emplacements BBQ ombragés</t>
  </si>
  <si>
    <t xml:space="preserve">   Mascotte &amp; merchandising</t>
  </si>
  <si>
    <t xml:space="preserve">   Esplanade festival/scène</t>
  </si>
  <si>
    <t xml:space="preserve">   Manèges en propriété (hiver)</t>
  </si>
  <si>
    <t>Fondations &amp; ouverture étendue : VRD, parking + parking premium, lagon, zone de glisse, cabanas, vestiaires, spa, cuisine, street-food, sunset, licence IV, sono, General Store, billetterie, études, sécurité, jardin (100K), mini-ferme, mini golf, accrobranche, superette, BBQ, mascotte → Ouverture saison avril→octobre (165 j)</t>
  </si>
  <si>
    <t>Montée en puissance : cottages Far West (x40), bloc sanitaire, cueillette, jardin complément (150K), padel, esplanade festival/scène, manèges (exploitation hiver), communication</t>
  </si>
  <si>
    <t>Complément : complément lagon (250K), salle polyvalente, audiovisuel, signalétique aventure, paysager nature &amp; village → Exploitation complète</t>
  </si>
  <si>
    <t>PRÉVISIONNEL DE REVENUS V5 — 5 ANS (saison étendue avril→octobre)</t>
  </si>
  <si>
    <t>Fréquentation annuelle (cible)</t>
  </si>
  <si>
    <t>TARIFS V5 &amp; MIX CLIENTÈLE</t>
  </si>
  <si>
    <t>Entrée parc — adulte (€)</t>
  </si>
  <si>
    <t>Entrée parc — enfant (€)</t>
  </si>
  <si>
    <t>Restaurant à volonté — adulte (€)</t>
  </si>
  <si>
    <t>Restaurant à volonté — enfant (€)</t>
  </si>
  <si>
    <t>Accrobranche — adulte (€)</t>
  </si>
  <si>
    <t>Accrobranche — enfant (€)</t>
  </si>
  <si>
    <t>Part adultes (mix entrée/resto/accro)</t>
  </si>
  <si>
    <t>Part enfants (3 ans et +)</t>
  </si>
  <si>
    <t>Prix moyen entrée (pondéré)</t>
  </si>
  <si>
    <t>Prix moyen restaurant (pondéré)</t>
  </si>
  <si>
    <t>Prix moyen accrobranche (pondéré)</t>
  </si>
  <si>
    <t>Tarif (€)</t>
  </si>
  <si>
    <t>Taux capt./unité</t>
  </si>
  <si>
    <t xml:space="preserve">   Entrée parc (accès lagon inclus)</t>
  </si>
  <si>
    <t>100% visiteurs × prix moyen entrée × jours</t>
  </si>
  <si>
    <t>7→10/j</t>
  </si>
  <si>
    <t>Cabanas louées/jour × tarif × jours</t>
  </si>
  <si>
    <t>Taux captation × visiteurs/j × tarif × jours</t>
  </si>
  <si>
    <t xml:space="preserve">   Zone de glisse (supplément)</t>
  </si>
  <si>
    <t>Taux captation × visiteurs/j × supplément × jours</t>
  </si>
  <si>
    <t>Taux captation (V4) × visiteurs/j × tarif × jours</t>
  </si>
  <si>
    <t xml:space="preserve">   Accrobranche</t>
  </si>
  <si>
    <t>Taux captation × visiteurs/j × prix moyen × jours</t>
  </si>
  <si>
    <t xml:space="preserve">   Padel (4 terrains)</t>
  </si>
  <si>
    <t>4→8 h/terr./j</t>
  </si>
  <si>
    <t>4 terrains × heures louées/j × tarif horaire × jours</t>
  </si>
  <si>
    <t xml:space="preserve">   Cueillette (fruits &amp; légumes) — ouv. An2</t>
  </si>
  <si>
    <t>Ouverture An2 (Phase 2). Taux capt. × visiteurs/j × tarif × jours</t>
  </si>
  <si>
    <t xml:space="preserve">   Restaurant à volonté (midi + soir)</t>
  </si>
  <si>
    <t>~40% visiteurs (V4) × visiteurs/j × prix moyen × jours</t>
  </si>
  <si>
    <t>50% visiteurs (V4) × panier × jours</t>
  </si>
  <si>
    <t>45→85/an</t>
  </si>
  <si>
    <t>Nb séminaires/an × prix moyen</t>
  </si>
  <si>
    <t>20% visiteurs (V4) × panier × jours</t>
  </si>
  <si>
    <t xml:space="preserve">   Merchandising mascotte</t>
  </si>
  <si>
    <t>Taux d'achat × visiteurs/j × panier × jours</t>
  </si>
  <si>
    <t>30→65/an</t>
  </si>
  <si>
    <t>Nb événements/an × prix moyen</t>
  </si>
  <si>
    <t xml:space="preserve">   Formules anniversaires enfants</t>
  </si>
  <si>
    <t>150→550/an</t>
  </si>
  <si>
    <t>Nb formules/an × prix moyen</t>
  </si>
  <si>
    <t xml:space="preserve">   Pool parties (soirées)</t>
  </si>
  <si>
    <t>12→32 soir./an</t>
  </si>
  <si>
    <t>Nb soirées/saison × recette moyenne/soirée</t>
  </si>
  <si>
    <t>% visiteurs × visiteurs/j × panier × jours</t>
  </si>
  <si>
    <t xml:space="preserve">   Emplacements BBQ ombragés (location)</t>
  </si>
  <si>
    <t>12→26 empl./j</t>
  </si>
  <si>
    <t>Emplacements loués/j × tarif × jours</t>
  </si>
  <si>
    <t xml:space="preserve">   Parking premium (point d'eau + élec.)</t>
  </si>
  <si>
    <t>15→35 empl./j</t>
  </si>
  <si>
    <t>Emplacements occupés/j × tarif × jours</t>
  </si>
  <si>
    <t>nuits×rempl.</t>
  </si>
  <si>
    <t>40 cottages × nuits × remplissage × prix moyen/nuit</t>
  </si>
  <si>
    <t xml:space="preserve">   Pass annuel (option)</t>
  </si>
  <si>
    <t>500→2000/an</t>
  </si>
  <si>
    <t>Nb pass × prix</t>
  </si>
  <si>
    <t>CHIFFRE D'AFFAIRES TOTAL (saison)</t>
  </si>
  <si>
    <t>PLAN DE PERSONNEL V5 — Saison étendue (7 mois) + Personnel Hiver</t>
  </si>
  <si>
    <t>Durée saison (mois) — avril→octobre</t>
  </si>
  <si>
    <t>POSTES SUPPLÉMENTAIRES V5 (saison étendue — nouvelles activités)</t>
  </si>
  <si>
    <t>Aquatique</t>
  </si>
  <si>
    <t>Surveillant de baignade / Zone de glisse</t>
  </si>
  <si>
    <t>Saisonnier 7 mois</t>
  </si>
  <si>
    <t>Aventure</t>
  </si>
  <si>
    <t>Animateur Zone de glisse / toboggans</t>
  </si>
  <si>
    <t>Animateur accrobranche</t>
  </si>
  <si>
    <t>Moniteur padel</t>
  </si>
  <si>
    <t>Commerce</t>
  </si>
  <si>
    <t>Employé superette</t>
  </si>
  <si>
    <t>Animation</t>
  </si>
  <si>
    <t>Animateur mascotte &amp; spectacles</t>
  </si>
  <si>
    <t>Agent sécurité renfort (pool parties / nocturne)</t>
  </si>
  <si>
    <t>SOUS-TOTAL POSTES V5</t>
  </si>
  <si>
    <t>PERSONNEL HIVER (Novembre → Janvier)</t>
  </si>
  <si>
    <t>Durée hiver (mois)</t>
  </si>
  <si>
    <t>Encadrement</t>
  </si>
  <si>
    <t>Responsable site hiver</t>
  </si>
  <si>
    <t>CDD 3 mois (hiver)</t>
  </si>
  <si>
    <t>Accueil</t>
  </si>
  <si>
    <t>Agent accueil / billetterie hiver</t>
  </si>
  <si>
    <t>Agent patinoire &amp; manèges</t>
  </si>
  <si>
    <t>Agent sécurité hiver</t>
  </si>
  <si>
    <t>Agent entretien / illuminations</t>
  </si>
  <si>
    <t>SOUS-TOTAL PERSONNEL HIVER</t>
  </si>
  <si>
    <t>TOTAUX EFFECTIFS</t>
  </si>
  <si>
    <t>Effectif total saison (incl. postes V5)</t>
  </si>
  <si>
    <t>Effectif total hiver</t>
  </si>
  <si>
    <t>RÉCAPITULATIF MASSE SALARIALE</t>
  </si>
  <si>
    <t>Coût (€)</t>
  </si>
  <si>
    <t>Postes supplémentaires V5 (nouvelles activités)</t>
  </si>
  <si>
    <t>MASSE SALARIALE SAISON</t>
  </si>
  <si>
    <t>Personnel hiver (nov→janv)</t>
  </si>
  <si>
    <t>MASSE SALARIALE ANNUELLE TOTALE</t>
  </si>
  <si>
    <t>RATIO MASSE SALARIALE / CA PAR ANNÉE</t>
  </si>
  <si>
    <t>Masse salariale annuelle totale (€)</t>
  </si>
  <si>
    <t>CA total saison (€ HT)</t>
  </si>
  <si>
    <t>Ratio masse salariale / CA</t>
  </si>
  <si>
    <t>Modèle « peu de capex, revenus locatifs + billetterie » — tous les paramètres sont des estimations À VALIDER.</t>
  </si>
  <si>
    <t>HYPOTHÈSES HIVER</t>
  </si>
  <si>
    <t>Jours d'ouverture hiver</t>
  </si>
  <si>
    <t>Fréquentation hiver (totale)</t>
  </si>
  <si>
    <t>REVENUS HIVER (€ HT)</t>
  </si>
  <si>
    <t>Montant</t>
  </si>
  <si>
    <t>Tarif / loyer</t>
  </si>
  <si>
    <t>Qté / taux</t>
  </si>
  <si>
    <t>Billetterie patinoire géante</t>
  </si>
  <si>
    <t>taux × visiteurs/j × prix × jours</t>
  </si>
  <si>
    <t>Billetterie manèges &amp; jetons</t>
  </si>
  <si>
    <t>taux × visiteurs/j × panier × jours</t>
  </si>
  <si>
    <t>Entrée marché de Noël &amp; illuminations</t>
  </si>
  <si>
    <t>Location emplacement grande roue (forain)</t>
  </si>
  <si>
    <t>Loyer forfaitaire saison (revenu locatif)</t>
  </si>
  <si>
    <t>Location chalets de Noël (artisans locaux)</t>
  </si>
  <si>
    <t>Loyer/chalet × nb chalets (revenu locatif)</t>
  </si>
  <si>
    <t>TOTAL REVENUS HIVER</t>
  </si>
  <si>
    <t>CHARGES HIVER (€ HT)</t>
  </si>
  <si>
    <t>Location patinoire géante (saison)</t>
  </si>
  <si>
    <t>Charge de location saisonnière</t>
  </si>
  <si>
    <t>Personnel hiver (lien Personnel)</t>
  </si>
  <si>
    <t>Lien → Personnel!F78 (section hiver)</t>
  </si>
  <si>
    <t>Énergie, illuminations &amp; exploitation</t>
  </si>
  <si>
    <t>Coûts d'exploitation hiver</t>
  </si>
  <si>
    <t>TOTAL CHARGES HIVER</t>
  </si>
  <si>
    <t>RÉSULTAT HIVER (revenus − charges)</t>
  </si>
  <si>
    <t>SYNTHÈSE V5 — L'Oasis du Vexin</t>
  </si>
  <si>
    <t>INDICATEURS CLÉS V5</t>
  </si>
  <si>
    <t>Investissement total HT (€)</t>
  </si>
  <si>
    <t>Écart vs cible communiquée (6 300 000 €)</t>
  </si>
  <si>
    <t>Résultat Bloc Hiver (€)</t>
  </si>
  <si>
    <t>CHIFFRE D'AFFAIRES SAISON PAR ANNÉE</t>
  </si>
  <si>
    <t>COMPARATIF V4 vs V5</t>
  </si>
  <si>
    <t>V4</t>
  </si>
  <si>
    <t>V5</t>
  </si>
  <si>
    <t>Δ V5 − V4</t>
  </si>
  <si>
    <t>Saison d'ouverture</t>
  </si>
  <si>
    <t>Mai → Sept.</t>
  </si>
  <si>
    <t>Avril → Oct.</t>
  </si>
  <si>
    <t>Fréquentation An 1</t>
  </si>
  <si>
    <t>Fréquentation An 5</t>
  </si>
  <si>
    <t>CA total An 1 (€ HT)</t>
  </si>
  <si>
    <t>CA total An 5 (€ HT)</t>
  </si>
  <si>
    <t>Effectif saison</t>
  </si>
  <si>
    <t>Masse salariale saison (€)</t>
  </si>
  <si>
    <t>Ratio MS / CA An 1</t>
  </si>
  <si>
    <t>ESTIMATIONS À VALIDER</t>
  </si>
  <si>
    <t>Chaque montant estimé est surligné en jaune (avec note) dans la feuille concernée.</t>
  </si>
  <si>
    <t>Élément</t>
  </si>
  <si>
    <t>Hypothèse retenue</t>
  </si>
  <si>
    <t>Feuille / cellule</t>
  </si>
  <si>
    <t>Mix adultes / enfants</t>
  </si>
  <si>
    <t>70% / 30%</t>
  </si>
  <si>
    <t>Prévisionnel Revenus B16</t>
  </si>
  <si>
    <t>Zone de glisse (supplément)</t>
  </si>
  <si>
    <t>8 €, captation 30% (ou incluse à l'entrée ?)</t>
  </si>
  <si>
    <t>Prévisionnel Revenus G27/H27</t>
  </si>
  <si>
    <t>Accrobranche</t>
  </si>
  <si>
    <t>captation 15% (tarif 20/15 € donné)</t>
  </si>
  <si>
    <t>Prévisionnel Revenus H31</t>
  </si>
  <si>
    <t>Padel (4 terrains)</t>
  </si>
  <si>
    <t>33 €/h/terrain, 4→8 h/jour</t>
  </si>
  <si>
    <t>Prévisionnel Revenus G32</t>
  </si>
  <si>
    <t>Merchandising mascotte</t>
  </si>
  <si>
    <t>panier 15 €, 12% des visiteurs</t>
  </si>
  <si>
    <t>Prévisionnel Revenus G44/H44</t>
  </si>
  <si>
    <t>Superette</t>
  </si>
  <si>
    <t>panier 8 €, 15% des visiteurs</t>
  </si>
  <si>
    <t>Prévisionnel Revenus G48/H48</t>
  </si>
  <si>
    <t>Emplacements BBQ</t>
  </si>
  <si>
    <t>25 €, 12→26 emplacements/jour</t>
  </si>
  <si>
    <t>Prévisionnel Revenus G49</t>
  </si>
  <si>
    <t>Parking premium</t>
  </si>
  <si>
    <t>6,5 € (fourch. 5-8), 15→35/nuit</t>
  </si>
  <si>
    <t>Prévisionnel Revenus G50</t>
  </si>
  <si>
    <t>Anniversaires enfants</t>
  </si>
  <si>
    <t>250 €, 150→550 formules/an</t>
  </si>
  <si>
    <t>Prévisionnel Revenus G46</t>
  </si>
  <si>
    <t>Pool parties</t>
  </si>
  <si>
    <t>12 500 €/soirée (10-15k), 12→32 soirées</t>
  </si>
  <si>
    <t>Prévisionnel Revenus G47</t>
  </si>
  <si>
    <t>Pass annuel (option)</t>
  </si>
  <si>
    <t>89 €, 500→2000/an</t>
  </si>
  <si>
    <t>Prévisionnel Revenus G54</t>
  </si>
  <si>
    <t>Cottages</t>
  </si>
  <si>
    <t>prix moyen 208 €, nuits 100→130, rempl. 80→90%</t>
  </si>
  <si>
    <t>Prévisionnel Revenus G53 / B53:F53</t>
  </si>
  <si>
    <t>Invest. nouvelles activités</t>
  </si>
  <si>
    <t>glisse 620k, accro 180k, padel 280k, superette 120k, BBQ 60k, parking 90k, mascotte 80k, esplanade 350k, manèges 300k</t>
  </si>
  <si>
    <t>Plan / Phasage Investissement</t>
  </si>
  <si>
    <t>Bloc hiver — exploitation</t>
  </si>
  <si>
    <t>45 jours, fréq. 40 000, durée 3 mois</t>
  </si>
  <si>
    <t>Bloc Hiver B4:B5 / Personnel B72</t>
  </si>
  <si>
    <t>Bloc hiver — tarifs &amp; loyers</t>
  </si>
  <si>
    <t>billet patinoire 8€/45%, manèges 6€/60%, entrée 8€, loyer roue 25k, 30 chalets×1500€</t>
  </si>
  <si>
    <t>Bloc Hiver C9:D13</t>
  </si>
  <si>
    <t>Bloc hiver — charges</t>
  </si>
  <si>
    <t>location patinoire 60k, énergie/illuminations 40k</t>
  </si>
  <si>
    <t>Bloc Hiver C17/C19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</si>
</sst>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€"/>
    <numFmt numFmtId="165" formatCode="0.0%"/>
    <numFmt numFmtId="166" formatCode="#,##0;\(#,##0\);\-"/>
    <numFmt numFmtId="167" formatCode="\+#,##0;\(#,##0\)"/>
    <numFmt numFmtId="168" formatCode="\+0.0%;\(0.0%\)"/>
  </numFmts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8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rgb="FF008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b/>
      <sz val="11"/>
      <color rgb="FFC00000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i/>
      <sz val="11"/>
      <color rgb="FFC00000"/>
      <name val="Aptos Narrow"/>
      <family val="2"/>
      <scheme val="minor"/>
    </font>
    <font>
      <b/>
      <sz val="13"/>
      <color rgb="FFFFFFFF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rgb="FF80808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EDE3D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DD7E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8" borderId="0" xfId="0" applyFont="1" applyFill="1"/>
    <xf numFmtId="0" fontId="1" fillId="10" borderId="0" xfId="0" applyFont="1" applyFill="1"/>
    <xf numFmtId="0" fontId="8" fillId="0" borderId="0" xfId="0" applyFont="1"/>
    <xf numFmtId="0" fontId="3" fillId="7" borderId="0" xfId="0" applyFont="1" applyFill="1" applyAlignment="1">
      <alignment vertical="center" wrapText="1"/>
    </xf>
    <xf numFmtId="0" fontId="3" fillId="7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vertical="center" wrapText="1"/>
    </xf>
    <xf numFmtId="0" fontId="0" fillId="10" borderId="0" xfId="0" applyFill="1" applyAlignment="1">
      <alignment vertical="center" wrapText="1"/>
    </xf>
    <xf numFmtId="164" fontId="1" fillId="10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164" fontId="1" fillId="4" borderId="0" xfId="0" applyNumberFormat="1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0" fillId="11" borderId="0" xfId="0" applyFill="1" applyAlignment="1">
      <alignment vertical="center" wrapText="1"/>
    </xf>
    <xf numFmtId="164" fontId="1" fillId="11" borderId="0" xfId="0" applyNumberFormat="1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" fillId="8" borderId="0" xfId="0" applyFont="1" applyFill="1" applyAlignment="1">
      <alignment horizontal="center" vertical="center" wrapText="1"/>
    </xf>
    <xf numFmtId="166" fontId="2" fillId="0" borderId="0" xfId="0" applyNumberFormat="1" applyFont="1"/>
    <xf numFmtId="166" fontId="1" fillId="2" borderId="0" xfId="0" applyNumberFormat="1" applyFont="1" applyFill="1"/>
    <xf numFmtId="3" fontId="9" fillId="0" borderId="0" xfId="0" applyNumberFormat="1" applyFont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0" fontId="8" fillId="10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2" fillId="9" borderId="0" xfId="0" applyFont="1" applyFill="1" applyAlignment="1">
      <alignment horizontal="center" vertical="center" wrapText="1"/>
    </xf>
    <xf numFmtId="165" fontId="2" fillId="9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13" borderId="0" xfId="0" applyFont="1" applyFill="1" applyAlignment="1">
      <alignment vertical="center" wrapText="1"/>
    </xf>
    <xf numFmtId="0" fontId="0" fillId="13" borderId="0" xfId="0" applyFill="1" applyAlignment="1">
      <alignment vertical="center" wrapText="1"/>
    </xf>
    <xf numFmtId="164" fontId="1" fillId="13" borderId="0" xfId="0" applyNumberFormat="1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0" fillId="9" borderId="0" xfId="0" applyNumberFormat="1" applyFont="1" applyFill="1" applyAlignment="1">
      <alignment vertical="center" wrapText="1"/>
    </xf>
    <xf numFmtId="0" fontId="6" fillId="6" borderId="0" xfId="0" applyFont="1" applyFill="1"/>
    <xf numFmtId="0" fontId="6" fillId="6" borderId="0" xfId="0" applyFont="1" applyFill="1" applyAlignment="1">
      <alignment vertical="center" wrapText="1"/>
    </xf>
    <xf numFmtId="0" fontId="3" fillId="12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/>
    <xf numFmtId="14" fontId="0" fillId="0" borderId="0" xfId="0" applyNumberFormat="1"/>
    <xf numFmtId="166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12" fillId="0" borderId="0" xfId="0" applyFont="1"/>
    <xf numFmtId="3" fontId="2" fillId="2" borderId="0" xfId="0" applyNumberFormat="1" applyFont="1" applyFill="1"/>
    <xf numFmtId="0" fontId="1" fillId="14" borderId="0" xfId="0" applyFont="1" applyFill="1"/>
    <xf numFmtId="0" fontId="1" fillId="15" borderId="0" xfId="0" applyFont="1" applyFill="1"/>
    <xf numFmtId="0" fontId="2" fillId="2" borderId="0" xfId="0" applyFont="1" applyFill="1"/>
    <xf numFmtId="0" fontId="15" fillId="5" borderId="0" xfId="0" applyFont="1" applyFill="1"/>
    <xf numFmtId="0" fontId="16" fillId="16" borderId="0" xfId="0" applyFont="1" applyFill="1"/>
    <xf numFmtId="166" fontId="0" fillId="0" borderId="0" xfId="0" applyNumberFormat="1"/>
    <xf numFmtId="166" fontId="10" fillId="16" borderId="0" xfId="0" applyNumberFormat="1" applyFont="1" applyFill="1"/>
    <xf numFmtId="3" fontId="0" fillId="0" borderId="0" xfId="0" applyNumberFormat="1"/>
    <xf numFmtId="165" fontId="0" fillId="0" borderId="0" xfId="0" applyNumberFormat="1"/>
    <xf numFmtId="3" fontId="1" fillId="0" borderId="0" xfId="0" applyNumberFormat="1" applyFont="1"/>
    <xf numFmtId="165" fontId="1" fillId="0" borderId="0" xfId="0" applyNumberFormat="1" applyFont="1"/>
    <xf numFmtId="165" fontId="0" fillId="2" borderId="0" xfId="0" applyNumberFormat="1" applyFill="1"/>
    <xf numFmtId="0" fontId="17" fillId="0" borderId="0" xfId="0" applyFont="1"/>
    <xf numFmtId="3" fontId="4" fillId="0" borderId="0" xfId="0" applyNumberFormat="1" applyFont="1"/>
    <xf numFmtId="3" fontId="9" fillId="0" borderId="0" xfId="0" applyNumberFormat="1" applyFont="1"/>
    <xf numFmtId="0" fontId="10" fillId="16" borderId="0" xfId="0" applyFont="1" applyFill="1"/>
    <xf numFmtId="3" fontId="1" fillId="16" borderId="0" xfId="0" applyNumberFormat="1" applyFont="1" applyFill="1"/>
    <xf numFmtId="166" fontId="1" fillId="16" borderId="0" xfId="0" applyNumberFormat="1" applyFont="1" applyFill="1"/>
    <xf numFmtId="0" fontId="18" fillId="6" borderId="0" xfId="0" applyFont="1" applyFill="1" applyAlignment="1">
      <alignment vertical="center" wrapText="1"/>
    </xf>
    <xf numFmtId="0" fontId="1" fillId="0" borderId="0" xfId="0" applyFont="1" applyAlignment="1">
      <alignment horizontal="right"/>
    </xf>
    <xf numFmtId="4" fontId="2" fillId="0" borderId="0" xfId="0" applyNumberFormat="1" applyFont="1"/>
    <xf numFmtId="4" fontId="2" fillId="2" borderId="0" xfId="0" applyNumberFormat="1" applyFont="1" applyFill="1"/>
    <xf numFmtId="165" fontId="2" fillId="2" borderId="0" xfId="0" applyNumberFormat="1" applyFont="1" applyFill="1"/>
    <xf numFmtId="4" fontId="8" fillId="0" borderId="0" xfId="0" applyNumberFormat="1" applyFont="1"/>
    <xf numFmtId="0" fontId="19" fillId="0" borderId="0" xfId="0" applyFont="1"/>
    <xf numFmtId="0" fontId="19" fillId="8" borderId="0" xfId="0" applyFont="1" applyFill="1"/>
    <xf numFmtId="4" fontId="0" fillId="0" borderId="0" xfId="0" applyNumberFormat="1"/>
    <xf numFmtId="165" fontId="2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10" fillId="4" borderId="0" xfId="0" applyFont="1" applyFill="1"/>
    <xf numFmtId="166" fontId="10" fillId="4" borderId="0" xfId="0" applyNumberFormat="1" applyFont="1" applyFill="1"/>
    <xf numFmtId="3" fontId="4" fillId="9" borderId="0" xfId="0" applyNumberFormat="1" applyFont="1" applyFill="1" applyAlignment="1">
      <alignment horizontal="center" vertical="center" wrapText="1"/>
    </xf>
    <xf numFmtId="166" fontId="4" fillId="10" borderId="0" xfId="0" applyNumberFormat="1" applyFont="1" applyFill="1" applyAlignment="1">
      <alignment vertical="center" wrapText="1"/>
    </xf>
    <xf numFmtId="166" fontId="4" fillId="2" borderId="0" xfId="0" applyNumberFormat="1" applyFont="1" applyFill="1" applyAlignment="1">
      <alignment vertical="center" wrapText="1"/>
    </xf>
    <xf numFmtId="166" fontId="4" fillId="3" borderId="0" xfId="0" applyNumberFormat="1" applyFont="1" applyFill="1" applyAlignment="1">
      <alignment vertical="center" wrapText="1"/>
    </xf>
    <xf numFmtId="166" fontId="4" fillId="4" borderId="0" xfId="0" applyNumberFormat="1" applyFont="1" applyFill="1" applyAlignment="1">
      <alignment vertical="center" wrapText="1"/>
    </xf>
    <xf numFmtId="166" fontId="3" fillId="6" borderId="0" xfId="0" applyNumberFormat="1" applyFont="1" applyFill="1" applyAlignment="1">
      <alignment vertical="center" wrapText="1"/>
    </xf>
    <xf numFmtId="166" fontId="4" fillId="9" borderId="0" xfId="0" applyNumberFormat="1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3" fillId="7" borderId="0" xfId="0" applyFont="1" applyFill="1" applyAlignment="1">
      <alignment horizontal="right" vertical="center" wrapText="1"/>
    </xf>
    <xf numFmtId="3" fontId="0" fillId="0" borderId="0" xfId="0" applyNumberFormat="1" applyAlignment="1">
      <alignment vertical="center" wrapText="1"/>
    </xf>
    <xf numFmtId="3" fontId="3" fillId="6" borderId="0" xfId="0" applyNumberFormat="1" applyFont="1" applyFill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1" fillId="4" borderId="0" xfId="0" applyNumberFormat="1" applyFont="1" applyFill="1"/>
    <xf numFmtId="0" fontId="20" fillId="0" borderId="0" xfId="0" applyFont="1"/>
    <xf numFmtId="166" fontId="9" fillId="0" borderId="0" xfId="0" applyNumberFormat="1" applyFont="1"/>
    <xf numFmtId="0" fontId="21" fillId="0" borderId="0" xfId="0" applyFont="1"/>
    <xf numFmtId="167" fontId="1" fillId="0" borderId="0" xfId="0" applyNumberFormat="1" applyFont="1"/>
    <xf numFmtId="167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00" b="1" i="0" u="none" strike="noStrike" kern="1200" spc="0" baseline="0">
                <a:solidFill>
                  <a:srgbClr val="0D2818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Répartition de l'Investissement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spc="0" baseline="0">
              <a:solidFill>
                <a:srgbClr val="0D2818"/>
              </a:solidFill>
              <a:latin typeface="Arial"/>
              <a:ea typeface="Arial"/>
              <a:cs typeface="Arial"/>
            </a:defRPr>
          </a:pPr>
          <a:endParaRPr lang="fr-FR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1B6B9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2D-4949-9B15-C41274D2FC41}"/>
              </c:ext>
            </c:extLst>
          </c:dPt>
          <c:dPt>
            <c:idx val="1"/>
            <c:bubble3D val="0"/>
            <c:spPr>
              <a:solidFill>
                <a:srgbClr val="8B451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2D-4949-9B15-C41274D2FC41}"/>
              </c:ext>
            </c:extLst>
          </c:dPt>
          <c:dPt>
            <c:idx val="2"/>
            <c:bubble3D val="0"/>
            <c:spPr>
              <a:solidFill>
                <a:srgbClr val="2D6A4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2D-4949-9B15-C41274D2FC41}"/>
              </c:ext>
            </c:extLst>
          </c:dPt>
          <c:dPt>
            <c:idx val="3"/>
            <c:bubble3D val="0"/>
            <c:spPr>
              <a:solidFill>
                <a:srgbClr val="B85C3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2D-4949-9B15-C41274D2FC41}"/>
              </c:ext>
            </c:extLst>
          </c:dPt>
          <c:dPt>
            <c:idx val="4"/>
            <c:bubble3D val="0"/>
            <c:spPr>
              <a:solidFill>
                <a:srgbClr val="5B4A3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2D-4949-9B15-C41274D2FC41}"/>
              </c:ext>
            </c:extLst>
          </c:dPt>
          <c:dPt>
            <c:idx val="5"/>
            <c:bubble3D val="0"/>
            <c:spPr>
              <a:solidFill>
                <a:srgbClr val="4A556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2D-4949-9B15-C41274D2FC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 Investissement'!$A$53:$A$58</c:f>
              <c:strCache>
                <c:ptCount val="6"/>
                <c:pt idx="0">
                  <c:v>   Parking visiteurs (300 places)</c:v>
                </c:pt>
                <c:pt idx="1">
                  <c:v>   Voiries internes &amp; chemins piétons</c:v>
                </c:pt>
                <c:pt idx="2">
                  <c:v>   Réseaux VRD généraux</c:v>
                </c:pt>
                <c:pt idx="3">
                  <c:v>   Sécurité &amp; vidéosurveillance</c:v>
                </c:pt>
                <c:pt idx="4">
                  <c:v>   Études, architecte &amp; maîtrise d'œuvre (ICPE, BET)</c:v>
                </c:pt>
                <c:pt idx="5">
                  <c:v>   Frais administratifs &amp; juridiques</c:v>
                </c:pt>
              </c:strCache>
            </c:strRef>
          </c:cat>
          <c:val>
            <c:numRef>
              <c:f>'Plan Investissement'!$B$53:$B$58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B2D-4949-9B15-C41274D2F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0</xdr:rowOff>
    </xdr:from>
    <xdr:to>
      <xdr:col>1</xdr:col>
      <xdr:colOff>2215515</xdr:colOff>
      <xdr:row>107</xdr:row>
      <xdr:rowOff>139700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82D52A94-86E4-487C-86F3-45FC209E2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B829FAE-5041-4C0D-9C8D-968847F51FD2}">
  <we:reference id="wa200009404" version="1.0.0.8" store="fr-FR" storeType="OMEX"/>
  <we:alternateReferences>
    <we:reference id="WA200009404" version="1.0.0.8" store="WA200009404" storeType="OMEX"/>
  </we:alternateReferences>
  <we:properties>
    <we:property name="claude.fileId" value="&quot;969860fd-a0d6-45f0-bb11-4bff6995e1ee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3982-EA0A-4EEC-80BA-105B1FE91A34}">
  <dimension ref="A1:F45"/>
  <sheetViews>
    <sheetView workbookViewId="0">
      <selection activeCell="E15" sqref="E15:F25"/>
    </sheetView>
  </sheetViews>
  <sheetFormatPr baseColWidth="10" defaultRowHeight="15" x14ac:dyDescent="0.25"/>
  <cols>
    <col min="1" max="1" width="43.85546875" customWidth="1"/>
  </cols>
  <sheetData>
    <row r="1" spans="1:6" ht="18.75" x14ac:dyDescent="0.3">
      <c r="A1" s="114" t="s">
        <v>444</v>
      </c>
    </row>
    <row r="3" spans="1:6" x14ac:dyDescent="0.25">
      <c r="A3" s="8" t="s">
        <v>445</v>
      </c>
    </row>
    <row r="4" spans="1:6" x14ac:dyDescent="0.25">
      <c r="A4" t="s">
        <v>446</v>
      </c>
      <c r="B4" s="81">
        <f>'Plan Investissement'!D61</f>
        <v>7635000</v>
      </c>
    </row>
    <row r="5" spans="1:6" x14ac:dyDescent="0.25">
      <c r="A5" t="s">
        <v>447</v>
      </c>
      <c r="B5" s="115">
        <f>B4-6300000</f>
        <v>1335000</v>
      </c>
    </row>
    <row r="6" spans="1:6" x14ac:dyDescent="0.25">
      <c r="A6" t="s">
        <v>195</v>
      </c>
      <c r="B6" s="81">
        <f>'Calendrier Ouverture'!$B$28</f>
        <v>165</v>
      </c>
    </row>
    <row r="7" spans="1:6" x14ac:dyDescent="0.25">
      <c r="A7" t="s">
        <v>414</v>
      </c>
      <c r="B7" s="81">
        <f>Personnel!F60</f>
        <v>1180872</v>
      </c>
    </row>
    <row r="8" spans="1:6" x14ac:dyDescent="0.25">
      <c r="A8" t="s">
        <v>448</v>
      </c>
      <c r="B8" s="81">
        <f>'Bloc Hiver'!B22</f>
        <v>475760</v>
      </c>
    </row>
    <row r="10" spans="1:6" x14ac:dyDescent="0.25">
      <c r="A10" s="8" t="s">
        <v>449</v>
      </c>
      <c r="B10" s="86" t="s">
        <v>50</v>
      </c>
      <c r="C10" s="86" t="s">
        <v>51</v>
      </c>
      <c r="D10" s="86" t="s">
        <v>52</v>
      </c>
      <c r="E10" s="86" t="s">
        <v>53</v>
      </c>
      <c r="F10" s="86" t="s">
        <v>54</v>
      </c>
    </row>
    <row r="11" spans="1:6" x14ac:dyDescent="0.25">
      <c r="A11" t="s">
        <v>239</v>
      </c>
      <c r="B11" s="81">
        <f>'Prévisionnel Revenus'!B5</f>
        <v>50000</v>
      </c>
      <c r="C11" s="81">
        <f>'Prévisionnel Revenus'!C5</f>
        <v>60000</v>
      </c>
      <c r="D11" s="81">
        <f>'Prévisionnel Revenus'!D5</f>
        <v>70000</v>
      </c>
      <c r="E11" s="81">
        <f>'Prévisionnel Revenus'!E5</f>
        <v>85000</v>
      </c>
      <c r="F11" s="81">
        <f>'Prévisionnel Revenus'!F5</f>
        <v>100000</v>
      </c>
    </row>
    <row r="12" spans="1:6" x14ac:dyDescent="0.25">
      <c r="A12" s="3" t="s">
        <v>415</v>
      </c>
      <c r="B12" s="80">
        <f>'Prévisionnel Revenus'!B56</f>
        <v>4223707.5</v>
      </c>
      <c r="C12" s="80">
        <f>'Prévisionnel Revenus'!C56</f>
        <v>5951925</v>
      </c>
      <c r="D12" s="80">
        <f>'Prévisionnel Revenus'!D56</f>
        <v>7024112.5</v>
      </c>
      <c r="E12" s="80">
        <f>'Prévisionnel Revenus'!E56</f>
        <v>8462752</v>
      </c>
      <c r="F12" s="80">
        <f>'Prévisionnel Revenus'!F56</f>
        <v>9924467.5</v>
      </c>
    </row>
    <row r="13" spans="1:6" x14ac:dyDescent="0.25">
      <c r="A13" t="s">
        <v>416</v>
      </c>
      <c r="B13" s="75">
        <f>Personnel!B85</f>
        <v>0.27958186024955561</v>
      </c>
      <c r="C13" s="75">
        <f>Personnel!C85</f>
        <v>0.19840169356972745</v>
      </c>
      <c r="D13" s="75">
        <f>Personnel!D85</f>
        <v>0.16811689733044566</v>
      </c>
      <c r="E13" s="75">
        <f>Personnel!E85</f>
        <v>0.13953758777286632</v>
      </c>
      <c r="F13" s="75">
        <f>Personnel!F85</f>
        <v>0.11898593047939347</v>
      </c>
    </row>
    <row r="15" spans="1:6" x14ac:dyDescent="0.25">
      <c r="A15" s="8" t="s">
        <v>450</v>
      </c>
      <c r="B15" s="86" t="s">
        <v>451</v>
      </c>
      <c r="C15" s="86" t="s">
        <v>452</v>
      </c>
      <c r="D15" s="86" t="s">
        <v>453</v>
      </c>
    </row>
    <row r="16" spans="1:6" x14ac:dyDescent="0.25">
      <c r="A16" t="s">
        <v>446</v>
      </c>
      <c r="B16" s="64">
        <v>5555000</v>
      </c>
      <c r="C16" s="74">
        <f>$B$4</f>
        <v>7635000</v>
      </c>
      <c r="D16" s="116">
        <f>C16-B16</f>
        <v>2080000</v>
      </c>
    </row>
    <row r="17" spans="1:4" x14ac:dyDescent="0.25">
      <c r="A17" t="s">
        <v>454</v>
      </c>
      <c r="B17" s="95" t="s">
        <v>455</v>
      </c>
      <c r="C17" s="95" t="s">
        <v>456</v>
      </c>
    </row>
    <row r="18" spans="1:4" x14ac:dyDescent="0.25">
      <c r="A18" t="s">
        <v>195</v>
      </c>
      <c r="B18" s="64">
        <v>115</v>
      </c>
      <c r="C18" s="74">
        <f>$B$6</f>
        <v>165</v>
      </c>
      <c r="D18" s="116">
        <f>C18-B18</f>
        <v>50</v>
      </c>
    </row>
    <row r="19" spans="1:4" x14ac:dyDescent="0.25">
      <c r="A19" t="s">
        <v>457</v>
      </c>
      <c r="B19" s="64">
        <v>34500</v>
      </c>
      <c r="C19" s="74">
        <f>$B$11</f>
        <v>50000</v>
      </c>
      <c r="D19" s="116">
        <f>C19-B19</f>
        <v>15500</v>
      </c>
    </row>
    <row r="20" spans="1:4" x14ac:dyDescent="0.25">
      <c r="A20" t="s">
        <v>458</v>
      </c>
      <c r="B20" s="64">
        <v>40250</v>
      </c>
      <c r="C20" s="74">
        <f>$F$11</f>
        <v>100000</v>
      </c>
      <c r="D20" s="116">
        <f>C20-B20</f>
        <v>59750</v>
      </c>
    </row>
    <row r="21" spans="1:4" x14ac:dyDescent="0.25">
      <c r="A21" t="s">
        <v>459</v>
      </c>
      <c r="B21" s="64">
        <v>1992295</v>
      </c>
      <c r="C21" s="74">
        <f>$B$12</f>
        <v>4223707.5</v>
      </c>
      <c r="D21" s="116">
        <f>C21-B21</f>
        <v>2231412.5</v>
      </c>
    </row>
    <row r="22" spans="1:4" x14ac:dyDescent="0.25">
      <c r="A22" t="s">
        <v>460</v>
      </c>
      <c r="B22" s="64">
        <v>3392915</v>
      </c>
      <c r="C22" s="74">
        <f>$F$12</f>
        <v>9924467.5</v>
      </c>
      <c r="D22" s="116">
        <f>C22-B22</f>
        <v>6531552.5</v>
      </c>
    </row>
    <row r="23" spans="1:4" x14ac:dyDescent="0.25">
      <c r="A23" t="s">
        <v>461</v>
      </c>
      <c r="B23" s="64">
        <v>38</v>
      </c>
      <c r="C23" s="81">
        <f>Personnel!C47</f>
        <v>55</v>
      </c>
      <c r="D23" s="116">
        <f>C23-B23</f>
        <v>17</v>
      </c>
    </row>
    <row r="24" spans="1:4" x14ac:dyDescent="0.25">
      <c r="A24" t="s">
        <v>462</v>
      </c>
      <c r="B24" s="64">
        <v>544712</v>
      </c>
      <c r="C24" s="81">
        <f>Personnel!F58</f>
        <v>1078632</v>
      </c>
      <c r="D24" s="116">
        <f>C24-B24</f>
        <v>533920</v>
      </c>
    </row>
    <row r="25" spans="1:4" x14ac:dyDescent="0.25">
      <c r="A25" t="s">
        <v>463</v>
      </c>
      <c r="B25" s="94">
        <v>0.27340900000000001</v>
      </c>
      <c r="C25" s="75">
        <f>$B$13</f>
        <v>0.27958186024955561</v>
      </c>
      <c r="D25" s="117">
        <f>C25-B25</f>
        <v>6.1728602495556006E-3</v>
      </c>
    </row>
    <row r="27" spans="1:4" x14ac:dyDescent="0.25">
      <c r="A27" s="4" t="s">
        <v>464</v>
      </c>
    </row>
    <row r="28" spans="1:4" x14ac:dyDescent="0.25">
      <c r="A28" s="10" t="s">
        <v>465</v>
      </c>
    </row>
    <row r="29" spans="1:4" x14ac:dyDescent="0.25">
      <c r="A29" s="3" t="s">
        <v>466</v>
      </c>
      <c r="B29" s="3" t="s">
        <v>467</v>
      </c>
      <c r="C29" s="3" t="s">
        <v>468</v>
      </c>
    </row>
    <row r="30" spans="1:4" x14ac:dyDescent="0.25">
      <c r="A30" t="s">
        <v>469</v>
      </c>
      <c r="B30" t="s">
        <v>470</v>
      </c>
      <c r="C30" t="s">
        <v>471</v>
      </c>
    </row>
    <row r="31" spans="1:4" x14ac:dyDescent="0.25">
      <c r="A31" t="s">
        <v>472</v>
      </c>
      <c r="B31" t="s">
        <v>473</v>
      </c>
      <c r="C31" t="s">
        <v>474</v>
      </c>
    </row>
    <row r="32" spans="1:4" x14ac:dyDescent="0.25">
      <c r="A32" t="s">
        <v>475</v>
      </c>
      <c r="B32" t="s">
        <v>476</v>
      </c>
      <c r="C32" t="s">
        <v>477</v>
      </c>
    </row>
    <row r="33" spans="1:3" x14ac:dyDescent="0.25">
      <c r="A33" t="s">
        <v>478</v>
      </c>
      <c r="B33" t="s">
        <v>479</v>
      </c>
      <c r="C33" t="s">
        <v>480</v>
      </c>
    </row>
    <row r="34" spans="1:3" x14ac:dyDescent="0.25">
      <c r="A34" t="s">
        <v>481</v>
      </c>
      <c r="B34" t="s">
        <v>482</v>
      </c>
      <c r="C34" t="s">
        <v>483</v>
      </c>
    </row>
    <row r="35" spans="1:3" x14ac:dyDescent="0.25">
      <c r="A35" t="s">
        <v>484</v>
      </c>
      <c r="B35" t="s">
        <v>485</v>
      </c>
      <c r="C35" t="s">
        <v>486</v>
      </c>
    </row>
    <row r="36" spans="1:3" x14ac:dyDescent="0.25">
      <c r="A36" t="s">
        <v>487</v>
      </c>
      <c r="B36" t="s">
        <v>488</v>
      </c>
      <c r="C36" t="s">
        <v>489</v>
      </c>
    </row>
    <row r="37" spans="1:3" x14ac:dyDescent="0.25">
      <c r="A37" t="s">
        <v>490</v>
      </c>
      <c r="B37" t="s">
        <v>491</v>
      </c>
      <c r="C37" t="s">
        <v>492</v>
      </c>
    </row>
    <row r="38" spans="1:3" x14ac:dyDescent="0.25">
      <c r="A38" t="s">
        <v>493</v>
      </c>
      <c r="B38" t="s">
        <v>494</v>
      </c>
      <c r="C38" t="s">
        <v>495</v>
      </c>
    </row>
    <row r="39" spans="1:3" x14ac:dyDescent="0.25">
      <c r="A39" t="s">
        <v>496</v>
      </c>
      <c r="B39" t="s">
        <v>497</v>
      </c>
      <c r="C39" t="s">
        <v>498</v>
      </c>
    </row>
    <row r="40" spans="1:3" x14ac:dyDescent="0.25">
      <c r="A40" t="s">
        <v>499</v>
      </c>
      <c r="B40" t="s">
        <v>500</v>
      </c>
      <c r="C40" t="s">
        <v>501</v>
      </c>
    </row>
    <row r="41" spans="1:3" x14ac:dyDescent="0.25">
      <c r="A41" t="s">
        <v>502</v>
      </c>
      <c r="B41" t="s">
        <v>503</v>
      </c>
      <c r="C41" t="s">
        <v>504</v>
      </c>
    </row>
    <row r="42" spans="1:3" x14ac:dyDescent="0.25">
      <c r="A42" t="s">
        <v>505</v>
      </c>
      <c r="B42" t="s">
        <v>506</v>
      </c>
      <c r="C42" t="s">
        <v>507</v>
      </c>
    </row>
    <row r="43" spans="1:3" x14ac:dyDescent="0.25">
      <c r="A43" t="s">
        <v>508</v>
      </c>
      <c r="B43" t="s">
        <v>509</v>
      </c>
      <c r="C43" t="s">
        <v>510</v>
      </c>
    </row>
    <row r="44" spans="1:3" x14ac:dyDescent="0.25">
      <c r="A44" t="s">
        <v>511</v>
      </c>
      <c r="B44" t="s">
        <v>512</v>
      </c>
      <c r="C44" t="s">
        <v>513</v>
      </c>
    </row>
    <row r="45" spans="1:3" x14ac:dyDescent="0.25">
      <c r="A45" t="s">
        <v>514</v>
      </c>
      <c r="B45" t="s">
        <v>515</v>
      </c>
      <c r="C45" t="s">
        <v>516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18001-0906-4680-A7A7-F9EA88FFC64A}">
  <sheetPr>
    <pageSetUpPr fitToPage="1"/>
  </sheetPr>
  <dimension ref="A1:D91"/>
  <sheetViews>
    <sheetView zoomScale="115" zoomScaleNormal="115" workbookViewId="0">
      <selection activeCell="C22" sqref="C22:F25"/>
    </sheetView>
  </sheetViews>
  <sheetFormatPr baseColWidth="10" defaultRowHeight="15" x14ac:dyDescent="0.25"/>
  <cols>
    <col min="1" max="1" width="43.85546875" customWidth="1"/>
    <col min="2" max="2" width="80" style="2" customWidth="1"/>
    <col min="3" max="3" width="24.7109375" customWidth="1"/>
    <col min="4" max="4" width="28.5703125" customWidth="1"/>
  </cols>
  <sheetData>
    <row r="1" spans="1:4" ht="50.1" customHeight="1" x14ac:dyDescent="0.25">
      <c r="A1" s="56" t="s">
        <v>212</v>
      </c>
      <c r="B1" s="56"/>
      <c r="C1" s="56"/>
      <c r="D1" s="56"/>
    </row>
    <row r="2" spans="1:4" ht="6" customHeight="1" x14ac:dyDescent="0.25">
      <c r="A2" s="1"/>
      <c r="B2" s="1"/>
      <c r="C2" s="1"/>
      <c r="D2" s="1"/>
    </row>
    <row r="3" spans="1:4" ht="27.95" customHeight="1" x14ac:dyDescent="0.25">
      <c r="A3" s="3" t="s">
        <v>0</v>
      </c>
      <c r="B3" s="3" t="s">
        <v>1</v>
      </c>
      <c r="C3" s="3" t="s">
        <v>2</v>
      </c>
      <c r="D3" s="3" t="s">
        <v>3</v>
      </c>
    </row>
    <row r="4" spans="1:4" ht="30" customHeight="1" x14ac:dyDescent="0.25">
      <c r="A4" s="9" t="s">
        <v>111</v>
      </c>
      <c r="B4"/>
      <c r="D4" s="62">
        <f>SUM(C5:C10)</f>
        <v>2000000</v>
      </c>
    </row>
    <row r="5" spans="1:4" ht="24" customHeight="1" x14ac:dyDescent="0.25">
      <c r="A5" t="s">
        <v>168</v>
      </c>
      <c r="B5" t="s">
        <v>60</v>
      </c>
      <c r="C5" s="64">
        <v>800000</v>
      </c>
    </row>
    <row r="6" spans="1:4" ht="24" customHeight="1" x14ac:dyDescent="0.25">
      <c r="A6" t="s">
        <v>63</v>
      </c>
      <c r="B6" t="s">
        <v>64</v>
      </c>
      <c r="C6" s="64">
        <v>180000</v>
      </c>
    </row>
    <row r="7" spans="1:4" ht="24" customHeight="1" x14ac:dyDescent="0.25">
      <c r="A7" t="s">
        <v>4</v>
      </c>
      <c r="B7" t="s">
        <v>5</v>
      </c>
      <c r="C7" s="64">
        <v>100000</v>
      </c>
    </row>
    <row r="8" spans="1:4" ht="24" customHeight="1" x14ac:dyDescent="0.25">
      <c r="A8" t="s">
        <v>6</v>
      </c>
      <c r="B8" t="s">
        <v>65</v>
      </c>
      <c r="C8" s="64">
        <v>120000</v>
      </c>
    </row>
    <row r="9" spans="1:4" ht="24" customHeight="1" x14ac:dyDescent="0.25">
      <c r="A9" t="s">
        <v>167</v>
      </c>
      <c r="B9" t="s">
        <v>213</v>
      </c>
      <c r="C9" s="64">
        <v>180000</v>
      </c>
    </row>
    <row r="10" spans="1:4" ht="3.95" customHeight="1" x14ac:dyDescent="0.25">
      <c r="A10" s="65" t="s">
        <v>276</v>
      </c>
      <c r="B10" t="s">
        <v>277</v>
      </c>
      <c r="C10" s="66">
        <v>620000</v>
      </c>
    </row>
    <row r="11" spans="1:4" ht="30" customHeight="1" x14ac:dyDescent="0.25">
      <c r="B11"/>
    </row>
    <row r="12" spans="1:4" ht="24" customHeight="1" x14ac:dyDescent="0.25">
      <c r="A12" s="67" t="s">
        <v>92</v>
      </c>
      <c r="B12"/>
      <c r="D12" s="62">
        <f>SUM(C13:C19)</f>
        <v>535000</v>
      </c>
    </row>
    <row r="13" spans="1:4" ht="24" customHeight="1" x14ac:dyDescent="0.25">
      <c r="A13" t="s">
        <v>161</v>
      </c>
      <c r="B13" t="s">
        <v>162</v>
      </c>
      <c r="C13" s="64">
        <v>5000</v>
      </c>
    </row>
    <row r="14" spans="1:4" ht="24" customHeight="1" x14ac:dyDescent="0.25">
      <c r="A14" t="s">
        <v>163</v>
      </c>
      <c r="B14" t="s">
        <v>164</v>
      </c>
      <c r="C14" s="64">
        <v>2000</v>
      </c>
    </row>
    <row r="15" spans="1:4" ht="24" customHeight="1" x14ac:dyDescent="0.25">
      <c r="A15" t="s">
        <v>165</v>
      </c>
      <c r="B15" t="s">
        <v>166</v>
      </c>
      <c r="C15" s="64">
        <v>3000</v>
      </c>
    </row>
    <row r="16" spans="1:4" ht="24" customHeight="1" x14ac:dyDescent="0.25">
      <c r="A16" t="s">
        <v>105</v>
      </c>
      <c r="B16" t="s">
        <v>214</v>
      </c>
      <c r="C16" s="64">
        <v>45000</v>
      </c>
    </row>
    <row r="17" spans="1:4" ht="3.95" customHeight="1" x14ac:dyDescent="0.25">
      <c r="A17" t="s">
        <v>41</v>
      </c>
      <c r="B17" t="s">
        <v>66</v>
      </c>
      <c r="C17" s="64">
        <v>20000</v>
      </c>
    </row>
    <row r="18" spans="1:4" ht="30" customHeight="1" x14ac:dyDescent="0.25">
      <c r="A18" s="65" t="s">
        <v>278</v>
      </c>
      <c r="B18" t="s">
        <v>279</v>
      </c>
      <c r="C18" s="66">
        <v>180000</v>
      </c>
    </row>
    <row r="19" spans="1:4" ht="24" customHeight="1" x14ac:dyDescent="0.25">
      <c r="A19" s="65" t="s">
        <v>280</v>
      </c>
      <c r="B19" t="s">
        <v>281</v>
      </c>
      <c r="C19" s="66">
        <v>280000</v>
      </c>
    </row>
    <row r="20" spans="1:4" ht="24" customHeight="1" x14ac:dyDescent="0.25">
      <c r="B20"/>
    </row>
    <row r="21" spans="1:4" ht="24" customHeight="1" x14ac:dyDescent="0.25">
      <c r="A21" s="5" t="s">
        <v>93</v>
      </c>
      <c r="B21"/>
      <c r="D21" s="62">
        <f>SUM(C22:C25)</f>
        <v>460000</v>
      </c>
    </row>
    <row r="22" spans="1:4" ht="24" customHeight="1" x14ac:dyDescent="0.25">
      <c r="A22" t="s">
        <v>103</v>
      </c>
      <c r="B22" t="s">
        <v>67</v>
      </c>
      <c r="C22" s="64">
        <v>250000</v>
      </c>
    </row>
    <row r="23" spans="1:4" ht="3.95" customHeight="1" x14ac:dyDescent="0.25">
      <c r="A23" t="s">
        <v>104</v>
      </c>
      <c r="B23" t="s">
        <v>215</v>
      </c>
      <c r="C23" s="64">
        <v>80000</v>
      </c>
    </row>
    <row r="24" spans="1:4" ht="30" customHeight="1" x14ac:dyDescent="0.25">
      <c r="A24" t="s">
        <v>68</v>
      </c>
      <c r="B24" t="s">
        <v>216</v>
      </c>
      <c r="C24" s="64">
        <v>50000</v>
      </c>
    </row>
    <row r="25" spans="1:4" ht="24" customHeight="1" x14ac:dyDescent="0.25">
      <c r="A25" t="s">
        <v>70</v>
      </c>
      <c r="B25" t="s">
        <v>71</v>
      </c>
      <c r="C25" s="64">
        <v>80000</v>
      </c>
    </row>
    <row r="26" spans="1:4" ht="24" customHeight="1" x14ac:dyDescent="0.25">
      <c r="B26"/>
    </row>
    <row r="27" spans="1:4" ht="24" customHeight="1" x14ac:dyDescent="0.25">
      <c r="A27" s="6" t="s">
        <v>94</v>
      </c>
      <c r="B27"/>
      <c r="D27" s="62">
        <f>SUM(C28:C36)</f>
        <v>905000</v>
      </c>
    </row>
    <row r="28" spans="1:4" ht="24" customHeight="1" x14ac:dyDescent="0.25">
      <c r="A28" t="s">
        <v>7</v>
      </c>
      <c r="B28" t="s">
        <v>8</v>
      </c>
      <c r="C28" s="64">
        <v>200000</v>
      </c>
    </row>
    <row r="29" spans="1:4" ht="24" customHeight="1" x14ac:dyDescent="0.25">
      <c r="A29" t="s">
        <v>72</v>
      </c>
      <c r="B29" t="s">
        <v>73</v>
      </c>
      <c r="C29" s="64">
        <v>50000</v>
      </c>
    </row>
    <row r="30" spans="1:4" ht="24" customHeight="1" x14ac:dyDescent="0.25">
      <c r="A30" t="s">
        <v>74</v>
      </c>
      <c r="B30" t="s">
        <v>75</v>
      </c>
      <c r="C30" s="64">
        <v>35000</v>
      </c>
    </row>
    <row r="31" spans="1:4" ht="24" customHeight="1" x14ac:dyDescent="0.25">
      <c r="A31" t="s">
        <v>9</v>
      </c>
      <c r="B31" t="s">
        <v>10</v>
      </c>
      <c r="C31" s="64">
        <v>25000</v>
      </c>
    </row>
    <row r="32" spans="1:4" ht="24" customHeight="1" x14ac:dyDescent="0.25">
      <c r="A32" t="s">
        <v>11</v>
      </c>
      <c r="B32" t="s">
        <v>12</v>
      </c>
      <c r="C32" s="64">
        <v>80000</v>
      </c>
    </row>
    <row r="33" spans="1:4" ht="24" customHeight="1" x14ac:dyDescent="0.25">
      <c r="A33" t="s">
        <v>100</v>
      </c>
      <c r="B33" t="s">
        <v>18</v>
      </c>
      <c r="C33" s="64">
        <v>200000</v>
      </c>
    </row>
    <row r="34" spans="1:4" ht="3.95" customHeight="1" x14ac:dyDescent="0.25">
      <c r="A34" t="s">
        <v>19</v>
      </c>
      <c r="B34" t="s">
        <v>20</v>
      </c>
      <c r="C34" s="64">
        <v>80000</v>
      </c>
    </row>
    <row r="35" spans="1:4" ht="30" customHeight="1" x14ac:dyDescent="0.25">
      <c r="A35" t="s">
        <v>101</v>
      </c>
      <c r="B35" t="s">
        <v>76</v>
      </c>
      <c r="C35" s="64">
        <v>150000</v>
      </c>
    </row>
    <row r="36" spans="1:4" ht="24" customHeight="1" x14ac:dyDescent="0.25">
      <c r="A36" t="s">
        <v>22</v>
      </c>
      <c r="B36" t="s">
        <v>23</v>
      </c>
      <c r="C36" s="64">
        <v>85000</v>
      </c>
    </row>
    <row r="37" spans="1:4" ht="24" customHeight="1" x14ac:dyDescent="0.25">
      <c r="B37"/>
    </row>
    <row r="38" spans="1:4" ht="24" customHeight="1" x14ac:dyDescent="0.25">
      <c r="A38" s="68" t="s">
        <v>95</v>
      </c>
      <c r="B38"/>
      <c r="D38" s="62">
        <f>SUM(C39:C42)</f>
        <v>1185000</v>
      </c>
    </row>
    <row r="39" spans="1:4" ht="24" customHeight="1" x14ac:dyDescent="0.25">
      <c r="A39" t="s">
        <v>123</v>
      </c>
      <c r="B39" t="s">
        <v>77</v>
      </c>
      <c r="C39" s="64">
        <v>750000</v>
      </c>
    </row>
    <row r="40" spans="1:4" ht="3.95" customHeight="1" x14ac:dyDescent="0.25">
      <c r="A40" t="s">
        <v>13</v>
      </c>
      <c r="B40" t="s">
        <v>14</v>
      </c>
      <c r="C40" s="64">
        <v>130000</v>
      </c>
    </row>
    <row r="41" spans="1:4" ht="30" customHeight="1" x14ac:dyDescent="0.25">
      <c r="A41" t="s">
        <v>15</v>
      </c>
      <c r="B41" t="s">
        <v>16</v>
      </c>
      <c r="C41" s="64">
        <v>210000</v>
      </c>
    </row>
    <row r="42" spans="1:4" ht="24" customHeight="1" x14ac:dyDescent="0.25">
      <c r="A42" t="s">
        <v>17</v>
      </c>
      <c r="B42" t="s">
        <v>78</v>
      </c>
      <c r="C42" s="64">
        <v>95000</v>
      </c>
    </row>
    <row r="43" spans="1:4" ht="24" customHeight="1" x14ac:dyDescent="0.25">
      <c r="B43"/>
    </row>
    <row r="44" spans="1:4" ht="24" customHeight="1" x14ac:dyDescent="0.25">
      <c r="A44" s="4" t="s">
        <v>282</v>
      </c>
      <c r="B44"/>
      <c r="D44" s="62">
        <f>SUM(C45:C50)</f>
        <v>1000000</v>
      </c>
    </row>
    <row r="45" spans="1:4" ht="24" customHeight="1" x14ac:dyDescent="0.25">
      <c r="A45" s="65" t="s">
        <v>283</v>
      </c>
      <c r="B45" t="s">
        <v>284</v>
      </c>
      <c r="C45" s="66">
        <v>120000</v>
      </c>
    </row>
    <row r="46" spans="1:4" ht="24" customHeight="1" x14ac:dyDescent="0.25">
      <c r="A46" s="65" t="s">
        <v>285</v>
      </c>
      <c r="B46" t="s">
        <v>286</v>
      </c>
      <c r="C46" s="66">
        <v>60000</v>
      </c>
    </row>
    <row r="47" spans="1:4" ht="24" customHeight="1" x14ac:dyDescent="0.25">
      <c r="A47" s="65" t="s">
        <v>287</v>
      </c>
      <c r="B47" t="s">
        <v>288</v>
      </c>
      <c r="C47" s="66">
        <v>90000</v>
      </c>
    </row>
    <row r="48" spans="1:4" ht="24" customHeight="1" x14ac:dyDescent="0.25">
      <c r="A48" s="65" t="s">
        <v>289</v>
      </c>
      <c r="B48" t="s">
        <v>290</v>
      </c>
      <c r="C48" s="66">
        <v>80000</v>
      </c>
    </row>
    <row r="49" spans="1:4" ht="3.95" customHeight="1" x14ac:dyDescent="0.25">
      <c r="A49" s="65" t="s">
        <v>291</v>
      </c>
      <c r="B49" t="s">
        <v>292</v>
      </c>
      <c r="C49" s="66">
        <v>350000</v>
      </c>
    </row>
    <row r="50" spans="1:4" ht="36" customHeight="1" x14ac:dyDescent="0.25">
      <c r="A50" s="65" t="s">
        <v>293</v>
      </c>
      <c r="B50" t="s">
        <v>294</v>
      </c>
      <c r="C50" s="66">
        <v>300000</v>
      </c>
    </row>
    <row r="51" spans="1:4" ht="9.9499999999999993" customHeight="1" x14ac:dyDescent="0.25">
      <c r="B51"/>
    </row>
    <row r="52" spans="1:4" ht="32.1" customHeight="1" x14ac:dyDescent="0.25">
      <c r="A52" s="70" t="s">
        <v>96</v>
      </c>
      <c r="B52"/>
      <c r="D52" s="62">
        <f>SUM(C53:C59)</f>
        <v>1550000</v>
      </c>
    </row>
    <row r="53" spans="1:4" ht="26.1" customHeight="1" x14ac:dyDescent="0.25">
      <c r="A53" s="65" t="s">
        <v>36</v>
      </c>
      <c r="B53" t="s">
        <v>25</v>
      </c>
      <c r="C53" s="66">
        <v>180000</v>
      </c>
    </row>
    <row r="54" spans="1:4" ht="26.1" customHeight="1" x14ac:dyDescent="0.25">
      <c r="A54" s="65" t="s">
        <v>26</v>
      </c>
      <c r="B54" t="s">
        <v>27</v>
      </c>
      <c r="C54" s="66">
        <v>250000</v>
      </c>
    </row>
    <row r="55" spans="1:4" ht="26.1" customHeight="1" x14ac:dyDescent="0.25">
      <c r="A55" s="65" t="s">
        <v>28</v>
      </c>
      <c r="B55" t="s">
        <v>29</v>
      </c>
      <c r="C55" s="66">
        <v>420000</v>
      </c>
    </row>
    <row r="56" spans="1:4" ht="26.1" customHeight="1" x14ac:dyDescent="0.25">
      <c r="A56" s="65" t="s">
        <v>30</v>
      </c>
      <c r="B56" t="s">
        <v>79</v>
      </c>
      <c r="C56" s="66">
        <v>135000</v>
      </c>
    </row>
    <row r="57" spans="1:4" ht="26.1" customHeight="1" x14ac:dyDescent="0.25">
      <c r="A57" s="65" t="s">
        <v>80</v>
      </c>
      <c r="B57" t="s">
        <v>81</v>
      </c>
      <c r="C57" s="66">
        <v>320000</v>
      </c>
    </row>
    <row r="58" spans="1:4" ht="26.1" customHeight="1" x14ac:dyDescent="0.25">
      <c r="A58" s="65" t="s">
        <v>31</v>
      </c>
      <c r="B58" t="s">
        <v>32</v>
      </c>
      <c r="C58" s="66">
        <v>95000</v>
      </c>
    </row>
    <row r="59" spans="1:4" ht="30" customHeight="1" x14ac:dyDescent="0.25">
      <c r="A59" s="65" t="s">
        <v>102</v>
      </c>
      <c r="B59" t="s">
        <v>34</v>
      </c>
      <c r="C59" s="66">
        <v>150000</v>
      </c>
    </row>
    <row r="60" spans="1:4" ht="15.95" customHeight="1" x14ac:dyDescent="0.25">
      <c r="B60"/>
    </row>
    <row r="61" spans="1:4" ht="21.95" customHeight="1" x14ac:dyDescent="0.25">
      <c r="A61" s="71" t="s">
        <v>97</v>
      </c>
      <c r="B61"/>
      <c r="D61" s="73">
        <f>D4+D12+D21+D27+D38+D44+D52</f>
        <v>7635000</v>
      </c>
    </row>
    <row r="62" spans="1:4" ht="18" customHeight="1" x14ac:dyDescent="0.25">
      <c r="B62"/>
    </row>
    <row r="63" spans="1:4" ht="18" customHeight="1" x14ac:dyDescent="0.25">
      <c r="A63" s="8" t="s">
        <v>156</v>
      </c>
      <c r="B63"/>
    </row>
    <row r="64" spans="1:4" ht="18" customHeight="1" x14ac:dyDescent="0.25">
      <c r="B64" s="3" t="s">
        <v>217</v>
      </c>
      <c r="C64" s="3" t="s">
        <v>43</v>
      </c>
    </row>
    <row r="65" spans="1:3" ht="18" customHeight="1" x14ac:dyDescent="0.25">
      <c r="A65" t="s">
        <v>112</v>
      </c>
      <c r="B65" s="74">
        <f>D4</f>
        <v>2000000</v>
      </c>
      <c r="C65" s="75">
        <f>B65/$B$72</f>
        <v>0.26195153896529144</v>
      </c>
    </row>
    <row r="66" spans="1:3" ht="18" customHeight="1" x14ac:dyDescent="0.25">
      <c r="A66" t="s">
        <v>295</v>
      </c>
      <c r="B66" s="74">
        <f>D12</f>
        <v>535000</v>
      </c>
      <c r="C66" s="75">
        <f>B66/$B$72</f>
        <v>7.007203667321546E-2</v>
      </c>
    </row>
    <row r="67" spans="1:3" ht="18" customHeight="1" x14ac:dyDescent="0.25">
      <c r="A67" t="s">
        <v>296</v>
      </c>
      <c r="B67" s="74">
        <f>D21</f>
        <v>460000</v>
      </c>
      <c r="C67" s="75">
        <f>B67/$B$72</f>
        <v>6.0248853962017027E-2</v>
      </c>
    </row>
    <row r="68" spans="1:3" x14ac:dyDescent="0.25">
      <c r="A68" t="s">
        <v>297</v>
      </c>
      <c r="B68" s="74">
        <f>D27</f>
        <v>905000</v>
      </c>
      <c r="C68" s="75">
        <f>B68/$B$72</f>
        <v>0.11853307138179436</v>
      </c>
    </row>
    <row r="69" spans="1:3" x14ac:dyDescent="0.25">
      <c r="A69" t="s">
        <v>218</v>
      </c>
      <c r="B69" s="74">
        <f>D38</f>
        <v>1185000</v>
      </c>
      <c r="C69" s="75">
        <f>B69/$B$72</f>
        <v>0.15520628683693516</v>
      </c>
    </row>
    <row r="70" spans="1:3" x14ac:dyDescent="0.25">
      <c r="A70" t="s">
        <v>298</v>
      </c>
      <c r="B70" s="74">
        <f>D44</f>
        <v>1000000</v>
      </c>
      <c r="C70" s="75">
        <f>B70/$B$72</f>
        <v>0.13097576948264572</v>
      </c>
    </row>
    <row r="71" spans="1:3" x14ac:dyDescent="0.25">
      <c r="A71" t="s">
        <v>98</v>
      </c>
      <c r="B71" s="74">
        <f>D52</f>
        <v>1550000</v>
      </c>
      <c r="C71" s="75">
        <f>B71/$B$72</f>
        <v>0.20301244269810084</v>
      </c>
    </row>
    <row r="72" spans="1:3" x14ac:dyDescent="0.25">
      <c r="A72" s="3" t="s">
        <v>35</v>
      </c>
      <c r="B72" s="76">
        <f>SUM(B65:B71)</f>
        <v>7635000</v>
      </c>
      <c r="C72" s="77">
        <f>SUM(C65:C71)</f>
        <v>1</v>
      </c>
    </row>
    <row r="73" spans="1:3" x14ac:dyDescent="0.25">
      <c r="B73"/>
    </row>
    <row r="74" spans="1:3" x14ac:dyDescent="0.25">
      <c r="A74" t="s">
        <v>299</v>
      </c>
      <c r="B74" s="64">
        <v>6300000</v>
      </c>
    </row>
    <row r="75" spans="1:3" x14ac:dyDescent="0.25">
      <c r="A75" s="3" t="s">
        <v>300</v>
      </c>
      <c r="B75" s="35">
        <f>B72-B74</f>
        <v>1335000</v>
      </c>
      <c r="C75" s="79" t="s">
        <v>302</v>
      </c>
    </row>
    <row r="76" spans="1:3" x14ac:dyDescent="0.25">
      <c r="A76" t="s">
        <v>301</v>
      </c>
      <c r="B76" s="78">
        <f>B75/B74</f>
        <v>0.2119047619047619</v>
      </c>
    </row>
    <row r="77" spans="1:3" x14ac:dyDescent="0.25">
      <c r="B77"/>
    </row>
    <row r="78" spans="1:3" x14ac:dyDescent="0.25">
      <c r="A78" s="8" t="s">
        <v>219</v>
      </c>
      <c r="B78"/>
    </row>
    <row r="79" spans="1:3" x14ac:dyDescent="0.25">
      <c r="A79" t="s">
        <v>82</v>
      </c>
      <c r="B79" t="s">
        <v>83</v>
      </c>
    </row>
    <row r="80" spans="1:3" x14ac:dyDescent="0.25">
      <c r="A80" t="s">
        <v>37</v>
      </c>
      <c r="B80" t="s">
        <v>84</v>
      </c>
    </row>
    <row r="81" spans="1:4" x14ac:dyDescent="0.25">
      <c r="A81" t="s">
        <v>48</v>
      </c>
      <c r="B81" t="s">
        <v>85</v>
      </c>
    </row>
    <row r="82" spans="1:4" x14ac:dyDescent="0.25">
      <c r="A82" t="s">
        <v>86</v>
      </c>
      <c r="B82" t="s">
        <v>87</v>
      </c>
    </row>
    <row r="83" spans="1:4" x14ac:dyDescent="0.25">
      <c r="A83" t="s">
        <v>88</v>
      </c>
      <c r="B83" t="s">
        <v>89</v>
      </c>
    </row>
    <row r="84" spans="1:4" x14ac:dyDescent="0.25">
      <c r="A84" t="s">
        <v>90</v>
      </c>
      <c r="B84" t="s">
        <v>91</v>
      </c>
    </row>
    <row r="85" spans="1:4" x14ac:dyDescent="0.25">
      <c r="B85"/>
    </row>
    <row r="86" spans="1:4" x14ac:dyDescent="0.25">
      <c r="A86" s="8" t="s">
        <v>106</v>
      </c>
      <c r="B86"/>
    </row>
    <row r="87" spans="1:4" x14ac:dyDescent="0.25">
      <c r="A87" s="3" t="s">
        <v>128</v>
      </c>
      <c r="B87" s="3" t="s">
        <v>1</v>
      </c>
      <c r="C87" s="3" t="s">
        <v>220</v>
      </c>
      <c r="D87" s="3" t="s">
        <v>107</v>
      </c>
    </row>
    <row r="88" spans="1:4" x14ac:dyDescent="0.25">
      <c r="A88" t="s">
        <v>61</v>
      </c>
      <c r="B88" t="s">
        <v>62</v>
      </c>
      <c r="C88" t="s">
        <v>108</v>
      </c>
      <c r="D88" t="s">
        <v>109</v>
      </c>
    </row>
    <row r="89" spans="1:4" x14ac:dyDescent="0.25">
      <c r="A89" t="s">
        <v>69</v>
      </c>
      <c r="B89" t="s">
        <v>221</v>
      </c>
      <c r="C89" s="74">
        <v>45000</v>
      </c>
      <c r="D89" t="s">
        <v>110</v>
      </c>
    </row>
    <row r="90" spans="1:4" x14ac:dyDescent="0.25">
      <c r="A90" t="s">
        <v>21</v>
      </c>
      <c r="B90" t="s">
        <v>99</v>
      </c>
      <c r="C90" t="s">
        <v>108</v>
      </c>
      <c r="D90" t="s">
        <v>110</v>
      </c>
    </row>
    <row r="91" spans="1:4" ht="30" x14ac:dyDescent="0.25">
      <c r="A91" t="s">
        <v>303</v>
      </c>
      <c r="B91" s="2" t="s">
        <v>304</v>
      </c>
      <c r="C91" t="s">
        <v>305</v>
      </c>
      <c r="D91" t="s">
        <v>306</v>
      </c>
    </row>
  </sheetData>
  <mergeCells count="1">
    <mergeCell ref="A1:D1"/>
  </mergeCells>
  <pageMargins left="0.25" right="0.25" top="0.75" bottom="0.75" header="0.3" footer="0.3"/>
  <pageSetup paperSize="8" scale="79" fitToHeight="4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77C4F-3023-4266-BE54-67F91C07E55F}">
  <sheetPr>
    <pageSetUpPr fitToPage="1"/>
  </sheetPr>
  <dimension ref="A1:F67"/>
  <sheetViews>
    <sheetView topLeftCell="A12" zoomScale="85" zoomScaleNormal="85" workbookViewId="0">
      <selection activeCell="I21" sqref="I21"/>
    </sheetView>
  </sheetViews>
  <sheetFormatPr baseColWidth="10" defaultRowHeight="15" x14ac:dyDescent="0.25"/>
  <cols>
    <col min="1" max="1" width="43.85546875" customWidth="1"/>
    <col min="2" max="2" width="24.7109375" customWidth="1"/>
    <col min="3" max="5" width="26.7109375" customWidth="1"/>
    <col min="6" max="6" width="15.28515625" customWidth="1"/>
    <col min="7" max="7" width="24.7109375" customWidth="1"/>
  </cols>
  <sheetData>
    <row r="1" spans="1:6" ht="39.950000000000003" customHeight="1" x14ac:dyDescent="0.3">
      <c r="A1" s="55" t="s">
        <v>222</v>
      </c>
      <c r="B1" s="55"/>
      <c r="C1" s="55"/>
      <c r="D1" s="55"/>
      <c r="E1" s="55"/>
      <c r="F1" s="55"/>
    </row>
    <row r="2" spans="1:6" ht="9.9499999999999993" customHeight="1" x14ac:dyDescent="0.25"/>
    <row r="3" spans="1:6" ht="35.1" customHeight="1" x14ac:dyDescent="0.25">
      <c r="A3" s="3" t="s">
        <v>38</v>
      </c>
      <c r="B3" s="3" t="s">
        <v>39</v>
      </c>
      <c r="C3" s="3" t="s">
        <v>223</v>
      </c>
      <c r="D3" s="3" t="s">
        <v>224</v>
      </c>
      <c r="E3" s="3" t="s">
        <v>225</v>
      </c>
      <c r="F3" s="3" t="s">
        <v>40</v>
      </c>
    </row>
    <row r="4" spans="1:6" ht="21.95" customHeight="1" x14ac:dyDescent="0.25">
      <c r="A4" s="9" t="s">
        <v>113</v>
      </c>
      <c r="B4" s="80">
        <f>'Plan Investissement'!D4</f>
        <v>2000000</v>
      </c>
      <c r="C4" s="76">
        <f>SUM(C5:C10)</f>
        <v>1750000</v>
      </c>
      <c r="D4" s="76">
        <f>SUM(D5:D10)</f>
        <v>0</v>
      </c>
      <c r="E4" s="76">
        <f>SUM(E5:E10)</f>
        <v>250000</v>
      </c>
      <c r="F4" s="62">
        <f>B4-C4-D4-E4</f>
        <v>0</v>
      </c>
    </row>
    <row r="5" spans="1:6" ht="21.95" customHeight="1" x14ac:dyDescent="0.25">
      <c r="A5" t="s">
        <v>226</v>
      </c>
      <c r="B5" s="81">
        <f>'Plan Investissement'!C5</f>
        <v>800000</v>
      </c>
      <c r="C5" s="64">
        <v>550000</v>
      </c>
      <c r="D5" s="72">
        <v>0</v>
      </c>
      <c r="E5" s="64">
        <v>250000</v>
      </c>
      <c r="F5" s="72">
        <f>B5-C5-D5-E5</f>
        <v>0</v>
      </c>
    </row>
    <row r="6" spans="1:6" ht="21.95" customHeight="1" x14ac:dyDescent="0.25">
      <c r="A6" t="s">
        <v>63</v>
      </c>
      <c r="B6" s="81">
        <f>'Plan Investissement'!C6</f>
        <v>180000</v>
      </c>
      <c r="C6" s="64">
        <v>180000</v>
      </c>
      <c r="D6" s="72">
        <v>0</v>
      </c>
      <c r="E6" s="72">
        <v>0</v>
      </c>
      <c r="F6" s="72">
        <f>B6-C6-D6-E6</f>
        <v>0</v>
      </c>
    </row>
    <row r="7" spans="1:6" ht="21.95" customHeight="1" x14ac:dyDescent="0.25">
      <c r="A7" t="s">
        <v>4</v>
      </c>
      <c r="B7" s="81">
        <f>'Plan Investissement'!C7</f>
        <v>100000</v>
      </c>
      <c r="C7" s="64">
        <v>100000</v>
      </c>
      <c r="D7" s="72">
        <v>0</v>
      </c>
      <c r="E7" s="72">
        <v>0</v>
      </c>
      <c r="F7" s="72">
        <f>B7-C7-D7-E7</f>
        <v>0</v>
      </c>
    </row>
    <row r="8" spans="1:6" ht="21.95" customHeight="1" x14ac:dyDescent="0.25">
      <c r="A8" t="s">
        <v>6</v>
      </c>
      <c r="B8" s="81">
        <f>'Plan Investissement'!C8</f>
        <v>120000</v>
      </c>
      <c r="C8" s="64">
        <v>120000</v>
      </c>
      <c r="D8" s="72">
        <v>0</v>
      </c>
      <c r="E8" s="72">
        <v>0</v>
      </c>
      <c r="F8" s="72">
        <f>B8-C8-D8-E8</f>
        <v>0</v>
      </c>
    </row>
    <row r="9" spans="1:6" ht="21.95" customHeight="1" x14ac:dyDescent="0.25">
      <c r="A9" t="s">
        <v>167</v>
      </c>
      <c r="B9" s="81">
        <f>'Plan Investissement'!C9</f>
        <v>180000</v>
      </c>
      <c r="C9" s="64">
        <v>180000</v>
      </c>
      <c r="D9" s="72">
        <v>0</v>
      </c>
      <c r="E9" s="72">
        <v>0</v>
      </c>
      <c r="F9" s="72">
        <f>B9-C9-D9-E9</f>
        <v>0</v>
      </c>
    </row>
    <row r="10" spans="1:6" ht="21.95" customHeight="1" x14ac:dyDescent="0.25">
      <c r="A10" t="s">
        <v>307</v>
      </c>
      <c r="B10" s="81">
        <f>'Plan Investissement'!C10</f>
        <v>620000</v>
      </c>
      <c r="C10" s="64">
        <v>620000</v>
      </c>
      <c r="D10" s="72">
        <v>0</v>
      </c>
      <c r="E10" s="72">
        <v>0</v>
      </c>
      <c r="F10" s="72">
        <f>B10-C10-D10-E10</f>
        <v>0</v>
      </c>
    </row>
    <row r="11" spans="1:6" ht="21.95" customHeight="1" x14ac:dyDescent="0.25"/>
    <row r="12" spans="1:6" ht="21.95" customHeight="1" x14ac:dyDescent="0.25">
      <c r="A12" s="67" t="s">
        <v>227</v>
      </c>
      <c r="B12" s="80">
        <f>'Plan Investissement'!D12</f>
        <v>535000</v>
      </c>
      <c r="C12" s="76">
        <f>SUM(C13:C19)</f>
        <v>235000</v>
      </c>
      <c r="D12" s="76">
        <f>SUM(D13:D19)</f>
        <v>280000</v>
      </c>
      <c r="E12" s="76">
        <f>SUM(E13:E19)</f>
        <v>20000</v>
      </c>
      <c r="F12" s="62">
        <f>B12-C12-D12-E12</f>
        <v>0</v>
      </c>
    </row>
    <row r="13" spans="1:6" x14ac:dyDescent="0.25">
      <c r="A13" t="s">
        <v>161</v>
      </c>
      <c r="B13" s="81">
        <f>'Plan Investissement'!C13</f>
        <v>5000</v>
      </c>
      <c r="C13" s="64">
        <v>5000</v>
      </c>
      <c r="D13" s="72">
        <v>0</v>
      </c>
      <c r="E13" s="72">
        <v>0</v>
      </c>
      <c r="F13" s="72">
        <f>B13-C13-D13-E13</f>
        <v>0</v>
      </c>
    </row>
    <row r="14" spans="1:6" x14ac:dyDescent="0.25">
      <c r="A14" t="s">
        <v>228</v>
      </c>
      <c r="B14" s="81">
        <f>'Plan Investissement'!C14</f>
        <v>2000</v>
      </c>
      <c r="C14" s="64">
        <v>2000</v>
      </c>
      <c r="D14" s="72">
        <v>0</v>
      </c>
      <c r="E14" s="72">
        <v>0</v>
      </c>
      <c r="F14" s="72">
        <f>B14-C14-D14-E14</f>
        <v>0</v>
      </c>
    </row>
    <row r="15" spans="1:6" ht="21.95" customHeight="1" x14ac:dyDescent="0.25">
      <c r="A15" t="s">
        <v>165</v>
      </c>
      <c r="B15" s="81">
        <f>'Plan Investissement'!C15</f>
        <v>3000</v>
      </c>
      <c r="C15" s="64">
        <v>3000</v>
      </c>
      <c r="D15" s="72">
        <v>0</v>
      </c>
      <c r="E15" s="72">
        <v>0</v>
      </c>
      <c r="F15" s="72">
        <f>B15-C15-D15-E15</f>
        <v>0</v>
      </c>
    </row>
    <row r="16" spans="1:6" ht="21.95" customHeight="1" x14ac:dyDescent="0.25">
      <c r="A16" t="s">
        <v>105</v>
      </c>
      <c r="B16" s="81">
        <f>'Plan Investissement'!C16</f>
        <v>45000</v>
      </c>
      <c r="C16" s="64">
        <v>45000</v>
      </c>
      <c r="D16" s="72">
        <v>0</v>
      </c>
      <c r="E16" s="72">
        <v>0</v>
      </c>
      <c r="F16" s="72">
        <f>B16-C16-D16-E16</f>
        <v>0</v>
      </c>
    </row>
    <row r="17" spans="1:6" ht="21.95" customHeight="1" x14ac:dyDescent="0.25">
      <c r="A17" t="s">
        <v>229</v>
      </c>
      <c r="B17" s="81">
        <f>'Plan Investissement'!C17</f>
        <v>20000</v>
      </c>
      <c r="C17" s="34">
        <v>0</v>
      </c>
      <c r="D17" s="72">
        <v>0</v>
      </c>
      <c r="E17" s="64">
        <v>20000</v>
      </c>
      <c r="F17" s="72">
        <f>B17-C17-D17-E17</f>
        <v>0</v>
      </c>
    </row>
    <row r="18" spans="1:6" ht="21.95" customHeight="1" x14ac:dyDescent="0.25">
      <c r="A18" t="s">
        <v>278</v>
      </c>
      <c r="B18" s="81">
        <f>'Plan Investissement'!C18</f>
        <v>180000</v>
      </c>
      <c r="C18" s="64">
        <v>180000</v>
      </c>
      <c r="D18" s="72">
        <v>0</v>
      </c>
      <c r="E18" s="72">
        <v>0</v>
      </c>
      <c r="F18" s="72">
        <f>B18-C18-D18-E18</f>
        <v>0</v>
      </c>
    </row>
    <row r="19" spans="1:6" ht="21.95" customHeight="1" x14ac:dyDescent="0.25">
      <c r="A19" t="s">
        <v>280</v>
      </c>
      <c r="B19" s="81">
        <f>'Plan Investissement'!C19</f>
        <v>280000</v>
      </c>
      <c r="C19" s="34">
        <v>0</v>
      </c>
      <c r="D19" s="64">
        <v>280000</v>
      </c>
      <c r="E19" s="72">
        <v>0</v>
      </c>
      <c r="F19" s="72">
        <f>B19-C19-D19-E19</f>
        <v>0</v>
      </c>
    </row>
    <row r="20" spans="1:6" ht="21.95" customHeight="1" x14ac:dyDescent="0.25"/>
    <row r="21" spans="1:6" ht="21.95" customHeight="1" x14ac:dyDescent="0.25">
      <c r="A21" s="5" t="s">
        <v>114</v>
      </c>
      <c r="B21" s="80">
        <f>'Plan Investissement'!D21</f>
        <v>460000</v>
      </c>
      <c r="C21" s="76">
        <f>SUM(C22:C25)</f>
        <v>150000</v>
      </c>
      <c r="D21" s="76">
        <f>SUM(D22:D25)</f>
        <v>230000</v>
      </c>
      <c r="E21" s="76">
        <f>SUM(E22:E25)</f>
        <v>80000</v>
      </c>
      <c r="F21" s="62">
        <f>B21-C21-D21-E21</f>
        <v>0</v>
      </c>
    </row>
    <row r="22" spans="1:6" ht="21.95" customHeight="1" x14ac:dyDescent="0.25">
      <c r="A22" t="s">
        <v>115</v>
      </c>
      <c r="B22" s="81">
        <f>'Plan Investissement'!C22</f>
        <v>250000</v>
      </c>
      <c r="C22" s="64">
        <v>100000</v>
      </c>
      <c r="D22" s="64">
        <v>150000</v>
      </c>
      <c r="E22" s="72">
        <v>0</v>
      </c>
      <c r="F22" s="72">
        <f>B22-C22-D22-E22</f>
        <v>0</v>
      </c>
    </row>
    <row r="23" spans="1:6" x14ac:dyDescent="0.25">
      <c r="A23" t="s">
        <v>116</v>
      </c>
      <c r="B23" s="81">
        <f>'Plan Investissement'!C23</f>
        <v>80000</v>
      </c>
      <c r="C23" s="72">
        <v>0</v>
      </c>
      <c r="D23" s="64">
        <v>80000</v>
      </c>
      <c r="E23" s="72">
        <v>0</v>
      </c>
      <c r="F23" s="72">
        <f>B23-C23-D23-E23</f>
        <v>0</v>
      </c>
    </row>
    <row r="24" spans="1:6" x14ac:dyDescent="0.25">
      <c r="A24" t="s">
        <v>68</v>
      </c>
      <c r="B24" s="81">
        <f>'Plan Investissement'!C24</f>
        <v>50000</v>
      </c>
      <c r="C24" s="64">
        <v>50000</v>
      </c>
      <c r="D24" s="34">
        <v>0</v>
      </c>
      <c r="E24" s="72">
        <v>0</v>
      </c>
      <c r="F24" s="72">
        <f>B24-C24-D24-E24</f>
        <v>0</v>
      </c>
    </row>
    <row r="25" spans="1:6" x14ac:dyDescent="0.25">
      <c r="A25" t="s">
        <v>70</v>
      </c>
      <c r="B25" s="81">
        <f>'Plan Investissement'!C25</f>
        <v>80000</v>
      </c>
      <c r="C25" s="72">
        <v>0</v>
      </c>
      <c r="D25" s="72">
        <v>0</v>
      </c>
      <c r="E25" s="64">
        <v>80000</v>
      </c>
      <c r="F25" s="72">
        <f>B25-C25-D25-E25</f>
        <v>0</v>
      </c>
    </row>
    <row r="26" spans="1:6" ht="21.95" customHeight="1" x14ac:dyDescent="0.25"/>
    <row r="27" spans="1:6" ht="21.95" customHeight="1" x14ac:dyDescent="0.25">
      <c r="A27" s="6" t="s">
        <v>117</v>
      </c>
      <c r="B27" s="80">
        <f>'Plan Investissement'!D27</f>
        <v>905000</v>
      </c>
      <c r="C27" s="76">
        <f>SUM(C28:C36)</f>
        <v>625000</v>
      </c>
      <c r="D27" s="76">
        <f>SUM(D28:D36)</f>
        <v>0</v>
      </c>
      <c r="E27" s="76">
        <f>SUM(E28:E36)</f>
        <v>280000</v>
      </c>
      <c r="F27" s="62">
        <f>B27-C27-D27-E27</f>
        <v>0</v>
      </c>
    </row>
    <row r="28" spans="1:6" ht="21.95" customHeight="1" x14ac:dyDescent="0.25">
      <c r="A28" t="s">
        <v>7</v>
      </c>
      <c r="B28" s="81">
        <f>'Plan Investissement'!C28</f>
        <v>200000</v>
      </c>
      <c r="C28" s="64">
        <v>200000</v>
      </c>
      <c r="D28" s="72">
        <v>0</v>
      </c>
      <c r="E28" s="72">
        <v>0</v>
      </c>
      <c r="F28" s="72">
        <f>B28-C28-D28-E28</f>
        <v>0</v>
      </c>
    </row>
    <row r="29" spans="1:6" ht="21.95" customHeight="1" x14ac:dyDescent="0.25">
      <c r="A29" t="s">
        <v>72</v>
      </c>
      <c r="B29" s="81">
        <f>'Plan Investissement'!C29</f>
        <v>50000</v>
      </c>
      <c r="C29" s="64">
        <v>50000</v>
      </c>
      <c r="D29" s="72">
        <v>0</v>
      </c>
      <c r="E29" s="72">
        <v>0</v>
      </c>
      <c r="F29" s="72">
        <f>B29-C29-D29-E29</f>
        <v>0</v>
      </c>
    </row>
    <row r="30" spans="1:6" ht="21.95" customHeight="1" x14ac:dyDescent="0.25">
      <c r="A30" t="s">
        <v>74</v>
      </c>
      <c r="B30" s="81">
        <f>'Plan Investissement'!C30</f>
        <v>35000</v>
      </c>
      <c r="C30" s="64">
        <v>35000</v>
      </c>
      <c r="D30" s="72">
        <v>0</v>
      </c>
      <c r="E30" s="72">
        <v>0</v>
      </c>
      <c r="F30" s="72">
        <f>B30-C30-D30-E30</f>
        <v>0</v>
      </c>
    </row>
    <row r="31" spans="1:6" ht="21.95" customHeight="1" x14ac:dyDescent="0.25">
      <c r="A31" t="s">
        <v>9</v>
      </c>
      <c r="B31" s="81">
        <f>'Plan Investissement'!C31</f>
        <v>25000</v>
      </c>
      <c r="C31" s="64">
        <v>25000</v>
      </c>
      <c r="D31" s="72">
        <v>0</v>
      </c>
      <c r="E31" s="72">
        <v>0</v>
      </c>
      <c r="F31" s="72">
        <f>B31-C31-D31-E31</f>
        <v>0</v>
      </c>
    </row>
    <row r="32" spans="1:6" ht="21.95" customHeight="1" x14ac:dyDescent="0.25">
      <c r="A32" t="s">
        <v>230</v>
      </c>
      <c r="B32" s="81">
        <f>'Plan Investissement'!C32</f>
        <v>80000</v>
      </c>
      <c r="C32" s="64">
        <v>80000</v>
      </c>
      <c r="D32" s="72">
        <v>0</v>
      </c>
      <c r="E32" s="72">
        <v>0</v>
      </c>
      <c r="F32" s="72">
        <f>B32-C32-D32-E32</f>
        <v>0</v>
      </c>
    </row>
    <row r="33" spans="1:6" x14ac:dyDescent="0.25">
      <c r="A33" t="s">
        <v>100</v>
      </c>
      <c r="B33" s="81">
        <f>'Plan Investissement'!C33</f>
        <v>200000</v>
      </c>
      <c r="C33" s="34">
        <v>0</v>
      </c>
      <c r="D33" s="72">
        <v>0</v>
      </c>
      <c r="E33" s="64">
        <v>200000</v>
      </c>
      <c r="F33" s="72">
        <f>B33-C33-D33-E33</f>
        <v>0</v>
      </c>
    </row>
    <row r="34" spans="1:6" ht="21.95" customHeight="1" x14ac:dyDescent="0.25">
      <c r="A34" t="s">
        <v>19</v>
      </c>
      <c r="B34" s="81">
        <f>'Plan Investissement'!C34</f>
        <v>80000</v>
      </c>
      <c r="C34" s="34">
        <v>0</v>
      </c>
      <c r="D34" s="72">
        <v>0</v>
      </c>
      <c r="E34" s="64">
        <v>80000</v>
      </c>
      <c r="F34" s="72">
        <f>B34-C34-D34-E34</f>
        <v>0</v>
      </c>
    </row>
    <row r="35" spans="1:6" ht="21.95" customHeight="1" x14ac:dyDescent="0.25">
      <c r="A35" t="s">
        <v>231</v>
      </c>
      <c r="B35" s="81">
        <f>'Plan Investissement'!C35</f>
        <v>150000</v>
      </c>
      <c r="C35" s="64">
        <v>150000</v>
      </c>
      <c r="D35" s="72">
        <v>0</v>
      </c>
      <c r="E35" s="72">
        <v>0</v>
      </c>
      <c r="F35" s="72">
        <f>B35-C35-D35-E35</f>
        <v>0</v>
      </c>
    </row>
    <row r="36" spans="1:6" ht="21.95" customHeight="1" x14ac:dyDescent="0.25">
      <c r="A36" t="s">
        <v>22</v>
      </c>
      <c r="B36" s="81">
        <f>'Plan Investissement'!C36</f>
        <v>85000</v>
      </c>
      <c r="C36" s="64">
        <v>85000</v>
      </c>
      <c r="D36" s="72">
        <v>0</v>
      </c>
      <c r="E36" s="72">
        <v>0</v>
      </c>
      <c r="F36" s="72">
        <f>B36-C36-D36-E36</f>
        <v>0</v>
      </c>
    </row>
    <row r="37" spans="1:6" ht="21.95" customHeight="1" x14ac:dyDescent="0.25"/>
    <row r="38" spans="1:6" ht="21.95" customHeight="1" x14ac:dyDescent="0.25">
      <c r="A38" s="68" t="s">
        <v>118</v>
      </c>
      <c r="B38" s="80">
        <f>'Plan Investissement'!D38</f>
        <v>1185000</v>
      </c>
      <c r="C38" s="76">
        <f>SUM(C39:C42)</f>
        <v>210000</v>
      </c>
      <c r="D38" s="76">
        <f>SUM(D39:D42)</f>
        <v>880000</v>
      </c>
      <c r="E38" s="76">
        <f>SUM(E39:E42)</f>
        <v>95000</v>
      </c>
      <c r="F38" s="62">
        <f>B38-C38-D38-E38</f>
        <v>0</v>
      </c>
    </row>
    <row r="39" spans="1:6" x14ac:dyDescent="0.25">
      <c r="A39" t="s">
        <v>232</v>
      </c>
      <c r="B39" s="81">
        <f>'Plan Investissement'!C39</f>
        <v>750000</v>
      </c>
      <c r="C39" s="72">
        <v>0</v>
      </c>
      <c r="D39" s="64">
        <v>750000</v>
      </c>
      <c r="E39" s="72">
        <v>0</v>
      </c>
      <c r="F39" s="72">
        <f>B39-C39-D39-E39</f>
        <v>0</v>
      </c>
    </row>
    <row r="40" spans="1:6" x14ac:dyDescent="0.25">
      <c r="A40" t="s">
        <v>233</v>
      </c>
      <c r="B40" s="81">
        <f>'Plan Investissement'!C40</f>
        <v>130000</v>
      </c>
      <c r="C40" s="72">
        <v>0</v>
      </c>
      <c r="D40" s="64">
        <v>130000</v>
      </c>
      <c r="E40" s="72">
        <v>0</v>
      </c>
      <c r="F40" s="72">
        <f>B40-C40-D40-E40</f>
        <v>0</v>
      </c>
    </row>
    <row r="41" spans="1:6" ht="21.95" customHeight="1" x14ac:dyDescent="0.25">
      <c r="A41" t="s">
        <v>15</v>
      </c>
      <c r="B41" s="81">
        <f>'Plan Investissement'!C41</f>
        <v>210000</v>
      </c>
      <c r="C41" s="64">
        <v>210000</v>
      </c>
      <c r="D41" s="72">
        <v>0</v>
      </c>
      <c r="E41" s="72">
        <v>0</v>
      </c>
      <c r="F41" s="72">
        <f>B41-C41-D41-E41</f>
        <v>0</v>
      </c>
    </row>
    <row r="42" spans="1:6" ht="21.95" customHeight="1" x14ac:dyDescent="0.25">
      <c r="A42" t="s">
        <v>234</v>
      </c>
      <c r="B42" s="81">
        <f>'Plan Investissement'!C42</f>
        <v>95000</v>
      </c>
      <c r="C42" s="72">
        <v>0</v>
      </c>
      <c r="D42" s="72">
        <v>0</v>
      </c>
      <c r="E42" s="64">
        <v>95000</v>
      </c>
      <c r="F42" s="72">
        <f>B42-C42-D42-E42</f>
        <v>0</v>
      </c>
    </row>
    <row r="43" spans="1:6" ht="21.95" customHeight="1" x14ac:dyDescent="0.25"/>
    <row r="44" spans="1:6" ht="21.95" customHeight="1" x14ac:dyDescent="0.25">
      <c r="A44" s="4" t="s">
        <v>308</v>
      </c>
      <c r="B44" s="80">
        <f>'Plan Investissement'!D44</f>
        <v>1000000</v>
      </c>
      <c r="C44" s="76">
        <f>SUM(C45:C50)</f>
        <v>350000</v>
      </c>
      <c r="D44" s="76">
        <f>SUM(D45:D50)</f>
        <v>650000</v>
      </c>
      <c r="E44" s="76">
        <f>SUM(E45:E50)</f>
        <v>0</v>
      </c>
      <c r="F44" s="62">
        <f>B44-C44-D44-E44</f>
        <v>0</v>
      </c>
    </row>
    <row r="45" spans="1:6" ht="21.95" customHeight="1" x14ac:dyDescent="0.25">
      <c r="A45" t="s">
        <v>309</v>
      </c>
      <c r="B45" s="81">
        <f>'Plan Investissement'!C45</f>
        <v>120000</v>
      </c>
      <c r="C45" s="64">
        <v>120000</v>
      </c>
      <c r="D45" s="72">
        <v>0</v>
      </c>
      <c r="E45" s="72">
        <v>0</v>
      </c>
      <c r="F45" s="72">
        <f>B45-C45-D45-E45</f>
        <v>0</v>
      </c>
    </row>
    <row r="46" spans="1:6" x14ac:dyDescent="0.25">
      <c r="A46" t="s">
        <v>310</v>
      </c>
      <c r="B46" s="81">
        <f>'Plan Investissement'!C46</f>
        <v>60000</v>
      </c>
      <c r="C46" s="64">
        <v>60000</v>
      </c>
      <c r="D46" s="72">
        <v>0</v>
      </c>
      <c r="E46" s="72">
        <v>0</v>
      </c>
      <c r="F46" s="72">
        <f>B46-C46-D46-E46</f>
        <v>0</v>
      </c>
    </row>
    <row r="47" spans="1:6" x14ac:dyDescent="0.25">
      <c r="A47" t="s">
        <v>287</v>
      </c>
      <c r="B47" s="81">
        <f>'Plan Investissement'!C47</f>
        <v>90000</v>
      </c>
      <c r="C47" s="64">
        <v>90000</v>
      </c>
      <c r="D47" s="72">
        <v>0</v>
      </c>
      <c r="E47" s="72">
        <v>0</v>
      </c>
      <c r="F47" s="72">
        <f>B47-C47-D47-E47</f>
        <v>0</v>
      </c>
    </row>
    <row r="48" spans="1:6" ht="21.95" customHeight="1" x14ac:dyDescent="0.25">
      <c r="A48" t="s">
        <v>311</v>
      </c>
      <c r="B48" s="81">
        <f>'Plan Investissement'!C48</f>
        <v>80000</v>
      </c>
      <c r="C48" s="64">
        <v>80000</v>
      </c>
      <c r="D48" s="72">
        <v>0</v>
      </c>
      <c r="E48" s="72">
        <v>0</v>
      </c>
      <c r="F48" s="72">
        <f>B48-C48-D48-E48</f>
        <v>0</v>
      </c>
    </row>
    <row r="49" spans="1:6" ht="21.95" customHeight="1" x14ac:dyDescent="0.25">
      <c r="A49" t="s">
        <v>312</v>
      </c>
      <c r="B49" s="81">
        <f>'Plan Investissement'!C49</f>
        <v>350000</v>
      </c>
      <c r="C49" s="34">
        <v>0</v>
      </c>
      <c r="D49" s="64">
        <v>350000</v>
      </c>
      <c r="E49" s="72">
        <v>0</v>
      </c>
      <c r="F49" s="72">
        <f>B49-C49-D49-E49</f>
        <v>0</v>
      </c>
    </row>
    <row r="50" spans="1:6" ht="21.95" customHeight="1" x14ac:dyDescent="0.25">
      <c r="A50" t="s">
        <v>313</v>
      </c>
      <c r="B50" s="81">
        <f>'Plan Investissement'!C50</f>
        <v>300000</v>
      </c>
      <c r="C50" s="34">
        <v>0</v>
      </c>
      <c r="D50" s="64">
        <v>300000</v>
      </c>
      <c r="E50" s="72">
        <v>0</v>
      </c>
      <c r="F50" s="72">
        <f>B50-C50-D50-E50</f>
        <v>0</v>
      </c>
    </row>
    <row r="51" spans="1:6" ht="21.95" customHeight="1" x14ac:dyDescent="0.25"/>
    <row r="52" spans="1:6" ht="21.95" customHeight="1" x14ac:dyDescent="0.25">
      <c r="A52" s="7" t="s">
        <v>24</v>
      </c>
      <c r="B52" s="80">
        <f>'Plan Investissement'!D52</f>
        <v>1550000</v>
      </c>
      <c r="C52" s="76">
        <f>SUM(C53:C59)</f>
        <v>1450000</v>
      </c>
      <c r="D52" s="76">
        <f>SUM(D53:D59)</f>
        <v>50000</v>
      </c>
      <c r="E52" s="76">
        <f>SUM(E53:E59)</f>
        <v>50000</v>
      </c>
      <c r="F52" s="62">
        <f>B52-C52-D52-E52</f>
        <v>0</v>
      </c>
    </row>
    <row r="53" spans="1:6" ht="21.95" customHeight="1" x14ac:dyDescent="0.25">
      <c r="A53" t="s">
        <v>36</v>
      </c>
      <c r="B53" s="81">
        <f>'Plan Investissement'!C53</f>
        <v>180000</v>
      </c>
      <c r="C53" s="64">
        <v>180000</v>
      </c>
      <c r="D53" s="72">
        <v>0</v>
      </c>
      <c r="E53" s="72">
        <v>0</v>
      </c>
      <c r="F53" s="72">
        <f>B53-C53-D53-E53</f>
        <v>0</v>
      </c>
    </row>
    <row r="54" spans="1:6" ht="60" customHeight="1" x14ac:dyDescent="0.25">
      <c r="A54" t="s">
        <v>235</v>
      </c>
      <c r="B54" s="81">
        <f>'Plan Investissement'!C54</f>
        <v>250000</v>
      </c>
      <c r="C54" s="64">
        <v>250000</v>
      </c>
      <c r="D54" s="72">
        <v>0</v>
      </c>
      <c r="E54" s="72">
        <v>0</v>
      </c>
      <c r="F54" s="72">
        <f>B54-C54-D54-E54</f>
        <v>0</v>
      </c>
    </row>
    <row r="55" spans="1:6" ht="60" customHeight="1" x14ac:dyDescent="0.25">
      <c r="A55" t="s">
        <v>28</v>
      </c>
      <c r="B55" s="81">
        <f>'Plan Investissement'!C55</f>
        <v>420000</v>
      </c>
      <c r="C55" s="64">
        <v>420000</v>
      </c>
      <c r="D55" s="72">
        <v>0</v>
      </c>
      <c r="E55" s="72">
        <v>0</v>
      </c>
      <c r="F55" s="72">
        <f>B55-C55-D55-E55</f>
        <v>0</v>
      </c>
    </row>
    <row r="56" spans="1:6" ht="60" customHeight="1" x14ac:dyDescent="0.25">
      <c r="A56" t="s">
        <v>30</v>
      </c>
      <c r="B56" s="81">
        <f>'Plan Investissement'!C56</f>
        <v>135000</v>
      </c>
      <c r="C56" s="64">
        <v>135000</v>
      </c>
      <c r="D56" s="72">
        <v>0</v>
      </c>
      <c r="E56" s="72">
        <v>0</v>
      </c>
      <c r="F56" s="72">
        <f>B56-C56-D56-E56</f>
        <v>0</v>
      </c>
    </row>
    <row r="57" spans="1:6" ht="30" customHeight="1" x14ac:dyDescent="0.25">
      <c r="A57" t="s">
        <v>236</v>
      </c>
      <c r="B57" s="81">
        <f>'Plan Investissement'!C57</f>
        <v>320000</v>
      </c>
      <c r="C57" s="64">
        <v>320000</v>
      </c>
      <c r="D57" s="72">
        <v>0</v>
      </c>
      <c r="E57" s="72">
        <v>0</v>
      </c>
      <c r="F57" s="72">
        <f>B57-C57-D57-E57</f>
        <v>0</v>
      </c>
    </row>
    <row r="58" spans="1:6" x14ac:dyDescent="0.25">
      <c r="A58" t="s">
        <v>31</v>
      </c>
      <c r="B58" s="81">
        <f>'Plan Investissement'!C58</f>
        <v>95000</v>
      </c>
      <c r="C58" s="64">
        <v>95000</v>
      </c>
      <c r="D58" s="72">
        <v>0</v>
      </c>
      <c r="E58" s="72">
        <v>0</v>
      </c>
      <c r="F58" s="72">
        <f>B58-C58-D58-E58</f>
        <v>0</v>
      </c>
    </row>
    <row r="59" spans="1:6" x14ac:dyDescent="0.25">
      <c r="A59" t="s">
        <v>33</v>
      </c>
      <c r="B59" s="81">
        <f>'Plan Investissement'!C59</f>
        <v>150000</v>
      </c>
      <c r="C59" s="64">
        <v>50000</v>
      </c>
      <c r="D59" s="64">
        <v>50000</v>
      </c>
      <c r="E59" s="64">
        <v>50000</v>
      </c>
      <c r="F59" s="72">
        <f>B59-C59-D59-E59</f>
        <v>0</v>
      </c>
    </row>
    <row r="61" spans="1:6" ht="35.1" customHeight="1" x14ac:dyDescent="0.25">
      <c r="A61" s="82" t="s">
        <v>42</v>
      </c>
      <c r="B61" s="83">
        <f>B4+B12+B21+B27+B38+B44+B52</f>
        <v>7635000</v>
      </c>
      <c r="C61" s="83">
        <f>C4+C12+C21+C27+C38+C44+C52</f>
        <v>4770000</v>
      </c>
      <c r="D61" s="83">
        <f>D4+D12+D21+D27+D38+D44+D52</f>
        <v>2090000</v>
      </c>
      <c r="E61" s="83">
        <f>E4+E12+E21+E27+E38+E44+E52</f>
        <v>775000</v>
      </c>
      <c r="F61" s="84">
        <f>B61-C61-D61-E61</f>
        <v>0</v>
      </c>
    </row>
    <row r="62" spans="1:6" ht="35.1" customHeight="1" x14ac:dyDescent="0.25">
      <c r="A62" t="s">
        <v>43</v>
      </c>
      <c r="C62" s="75">
        <f>C61/$B$61</f>
        <v>0.62475442043222007</v>
      </c>
      <c r="D62" s="75">
        <f>D61/$B$61</f>
        <v>0.27373935821872952</v>
      </c>
      <c r="E62" s="75">
        <f>E61/$B$61</f>
        <v>0.10150622134905042</v>
      </c>
    </row>
    <row r="63" spans="1:6" ht="35.1" customHeight="1" x14ac:dyDescent="0.25"/>
    <row r="64" spans="1:6" x14ac:dyDescent="0.25">
      <c r="A64" s="8" t="s">
        <v>44</v>
      </c>
    </row>
    <row r="65" spans="1:2" x14ac:dyDescent="0.25">
      <c r="A65" s="3" t="s">
        <v>45</v>
      </c>
      <c r="B65" t="s">
        <v>314</v>
      </c>
    </row>
    <row r="66" spans="1:2" x14ac:dyDescent="0.25">
      <c r="A66" s="3" t="s">
        <v>46</v>
      </c>
      <c r="B66" t="s">
        <v>315</v>
      </c>
    </row>
    <row r="67" spans="1:2" x14ac:dyDescent="0.25">
      <c r="A67" s="3" t="s">
        <v>47</v>
      </c>
      <c r="B67" t="s">
        <v>316</v>
      </c>
    </row>
  </sheetData>
  <mergeCells count="1">
    <mergeCell ref="A1:F1"/>
  </mergeCells>
  <pageMargins left="0.25" right="0.25" top="0.75" bottom="0.75" header="0.3" footer="0.3"/>
  <pageSetup paperSize="8" scale="8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6B21-E517-4C26-9603-25316776F31C}">
  <dimension ref="A1:F30"/>
  <sheetViews>
    <sheetView workbookViewId="0">
      <selection activeCell="E37" sqref="E37"/>
    </sheetView>
  </sheetViews>
  <sheetFormatPr baseColWidth="10" defaultRowHeight="15" x14ac:dyDescent="0.25"/>
  <cols>
    <col min="1" max="1" width="43.85546875" customWidth="1"/>
    <col min="2" max="6" width="24.7109375" customWidth="1"/>
  </cols>
  <sheetData>
    <row r="1" spans="1:4" ht="17.25" x14ac:dyDescent="0.3">
      <c r="A1" s="60" t="s">
        <v>265</v>
      </c>
    </row>
    <row r="3" spans="1:4" x14ac:dyDescent="0.25">
      <c r="A3" s="8" t="s">
        <v>169</v>
      </c>
    </row>
    <row r="4" spans="1:4" x14ac:dyDescent="0.25">
      <c r="A4" t="s">
        <v>170</v>
      </c>
      <c r="B4" t="s">
        <v>171</v>
      </c>
    </row>
    <row r="5" spans="1:4" x14ac:dyDescent="0.25">
      <c r="A5" t="s">
        <v>266</v>
      </c>
      <c r="B5" t="s">
        <v>267</v>
      </c>
    </row>
    <row r="6" spans="1:4" x14ac:dyDescent="0.25">
      <c r="A6" t="s">
        <v>268</v>
      </c>
      <c r="B6" t="s">
        <v>172</v>
      </c>
    </row>
    <row r="7" spans="1:4" x14ac:dyDescent="0.25">
      <c r="A7" t="s">
        <v>269</v>
      </c>
      <c r="B7" t="s">
        <v>270</v>
      </c>
    </row>
    <row r="9" spans="1:4" x14ac:dyDescent="0.25">
      <c r="A9" s="8" t="s">
        <v>210</v>
      </c>
    </row>
    <row r="10" spans="1:4" x14ac:dyDescent="0.25">
      <c r="A10" s="3" t="s">
        <v>173</v>
      </c>
      <c r="B10" s="3" t="s">
        <v>174</v>
      </c>
      <c r="C10" s="3" t="s">
        <v>175</v>
      </c>
      <c r="D10" s="3" t="s">
        <v>176</v>
      </c>
    </row>
    <row r="11" spans="1:4" x14ac:dyDescent="0.25">
      <c r="A11" t="s">
        <v>177</v>
      </c>
      <c r="B11" s="61">
        <f>DATE(2025,4,5)</f>
        <v>45752</v>
      </c>
      <c r="C11" s="61">
        <f>DATE(2025,4,21)</f>
        <v>45768</v>
      </c>
      <c r="D11" t="s">
        <v>178</v>
      </c>
    </row>
    <row r="12" spans="1:4" x14ac:dyDescent="0.25">
      <c r="A12" t="s">
        <v>179</v>
      </c>
      <c r="B12" s="61">
        <f>DATE(2025,4,19)</f>
        <v>45766</v>
      </c>
      <c r="C12" s="61">
        <f>DATE(2025,5,5)</f>
        <v>45782</v>
      </c>
      <c r="D12" t="s">
        <v>180</v>
      </c>
    </row>
    <row r="13" spans="1:4" x14ac:dyDescent="0.25">
      <c r="A13" t="s">
        <v>181</v>
      </c>
      <c r="B13" s="61">
        <f>DATE(2025,7,5)</f>
        <v>45843</v>
      </c>
      <c r="C13" s="61">
        <f>DATE(2025,8,31)</f>
        <v>45900</v>
      </c>
      <c r="D13" t="s">
        <v>182</v>
      </c>
    </row>
    <row r="14" spans="1:4" x14ac:dyDescent="0.25">
      <c r="A14" t="s">
        <v>271</v>
      </c>
      <c r="B14" s="61">
        <f>DATE(2025,10,18)</f>
        <v>45948</v>
      </c>
      <c r="C14" s="61">
        <f>DATE(2025,11,2)</f>
        <v>45963</v>
      </c>
      <c r="D14" t="s">
        <v>182</v>
      </c>
    </row>
    <row r="16" spans="1:4" x14ac:dyDescent="0.25">
      <c r="A16" s="8" t="s">
        <v>272</v>
      </c>
    </row>
    <row r="17" spans="1:6" x14ac:dyDescent="0.25">
      <c r="A17" s="3" t="s">
        <v>183</v>
      </c>
      <c r="B17" s="3" t="s">
        <v>184</v>
      </c>
      <c r="C17" s="3" t="s">
        <v>185</v>
      </c>
      <c r="D17" s="3" t="s">
        <v>186</v>
      </c>
      <c r="E17" s="3" t="s">
        <v>187</v>
      </c>
      <c r="F17" s="3" t="s">
        <v>188</v>
      </c>
    </row>
    <row r="18" spans="1:6" x14ac:dyDescent="0.25">
      <c r="A18" t="s">
        <v>273</v>
      </c>
      <c r="B18">
        <v>30</v>
      </c>
      <c r="C18">
        <v>0</v>
      </c>
      <c r="D18">
        <v>26</v>
      </c>
      <c r="E18">
        <v>0</v>
      </c>
      <c r="F18">
        <f>C18+D18+E18</f>
        <v>26</v>
      </c>
    </row>
    <row r="19" spans="1:6" x14ac:dyDescent="0.25">
      <c r="A19" t="s">
        <v>189</v>
      </c>
      <c r="B19">
        <v>31</v>
      </c>
      <c r="C19">
        <v>15</v>
      </c>
      <c r="D19">
        <v>5</v>
      </c>
      <c r="E19">
        <v>0</v>
      </c>
      <c r="F19">
        <f>C19+D19+E19</f>
        <v>20</v>
      </c>
    </row>
    <row r="20" spans="1:6" x14ac:dyDescent="0.25">
      <c r="A20" t="s">
        <v>190</v>
      </c>
      <c r="B20">
        <v>30</v>
      </c>
      <c r="C20">
        <v>17</v>
      </c>
      <c r="D20">
        <v>0</v>
      </c>
      <c r="E20">
        <v>0</v>
      </c>
      <c r="F20">
        <f>C20+D20+E20</f>
        <v>17</v>
      </c>
    </row>
    <row r="21" spans="1:6" x14ac:dyDescent="0.25">
      <c r="A21" t="s">
        <v>191</v>
      </c>
      <c r="B21">
        <v>31</v>
      </c>
      <c r="C21">
        <v>0</v>
      </c>
      <c r="D21">
        <v>0</v>
      </c>
      <c r="E21">
        <v>31</v>
      </c>
      <c r="F21">
        <f>C21+D21+E21</f>
        <v>31</v>
      </c>
    </row>
    <row r="22" spans="1:6" x14ac:dyDescent="0.25">
      <c r="A22" t="s">
        <v>192</v>
      </c>
      <c r="B22">
        <v>31</v>
      </c>
      <c r="C22">
        <v>0</v>
      </c>
      <c r="D22">
        <v>0</v>
      </c>
      <c r="E22">
        <v>31</v>
      </c>
      <c r="F22">
        <f>C22+D22+E22</f>
        <v>31</v>
      </c>
    </row>
    <row r="23" spans="1:6" x14ac:dyDescent="0.25">
      <c r="A23" t="s">
        <v>193</v>
      </c>
      <c r="B23">
        <v>30</v>
      </c>
      <c r="C23">
        <v>16</v>
      </c>
      <c r="D23">
        <v>0</v>
      </c>
      <c r="E23">
        <v>0</v>
      </c>
      <c r="F23">
        <f>C23+D23+E23</f>
        <v>16</v>
      </c>
    </row>
    <row r="24" spans="1:6" x14ac:dyDescent="0.25">
      <c r="A24" t="s">
        <v>274</v>
      </c>
      <c r="B24">
        <v>31</v>
      </c>
      <c r="C24">
        <v>10</v>
      </c>
      <c r="D24">
        <v>14</v>
      </c>
      <c r="E24">
        <v>0</v>
      </c>
      <c r="F24">
        <f>C24+D24+E24</f>
        <v>24</v>
      </c>
    </row>
    <row r="25" spans="1:6" x14ac:dyDescent="0.25">
      <c r="A25" s="3" t="s">
        <v>194</v>
      </c>
      <c r="B25" s="3">
        <f>SUM(B18:B24)</f>
        <v>214</v>
      </c>
      <c r="C25" s="3">
        <f>SUM(C18:C24)</f>
        <v>58</v>
      </c>
      <c r="D25" s="3">
        <f>SUM(D18:D24)</f>
        <v>45</v>
      </c>
      <c r="E25" s="3">
        <f>SUM(E18:E24)</f>
        <v>62</v>
      </c>
      <c r="F25" s="4">
        <f>SUM(F18:F24)</f>
        <v>165</v>
      </c>
    </row>
    <row r="27" spans="1:6" x14ac:dyDescent="0.25">
      <c r="A27" s="8" t="s">
        <v>211</v>
      </c>
    </row>
    <row r="28" spans="1:6" x14ac:dyDescent="0.25">
      <c r="A28" t="s">
        <v>195</v>
      </c>
      <c r="B28" s="4">
        <f>F25</f>
        <v>165</v>
      </c>
    </row>
    <row r="29" spans="1:6" x14ac:dyDescent="0.25">
      <c r="A29" t="s">
        <v>125</v>
      </c>
      <c r="B29">
        <v>7</v>
      </c>
    </row>
    <row r="30" spans="1:6" x14ac:dyDescent="0.25">
      <c r="A30" t="s">
        <v>275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C026-9C2E-4F47-9742-2BC6792B6849}">
  <sheetPr>
    <pageSetUpPr fitToPage="1"/>
  </sheetPr>
  <dimension ref="A1:I56"/>
  <sheetViews>
    <sheetView tabSelected="1" zoomScale="85" zoomScaleNormal="85" workbookViewId="0">
      <selection activeCell="F18" sqref="F18"/>
    </sheetView>
  </sheetViews>
  <sheetFormatPr baseColWidth="10" defaultRowHeight="15" x14ac:dyDescent="0.25"/>
  <cols>
    <col min="1" max="1" width="43.85546875" customWidth="1"/>
    <col min="2" max="6" width="21" customWidth="1"/>
    <col min="7" max="7" width="18.140625" customWidth="1"/>
    <col min="8" max="8" width="45.7109375" customWidth="1"/>
    <col min="9" max="9" width="53.28515625" customWidth="1"/>
  </cols>
  <sheetData>
    <row r="1" spans="1:9" ht="27.95" customHeight="1" x14ac:dyDescent="0.25">
      <c r="A1" s="85" t="s">
        <v>317</v>
      </c>
      <c r="B1" s="56"/>
      <c r="C1" s="56"/>
      <c r="D1" s="56"/>
      <c r="E1" s="56"/>
      <c r="F1" s="56"/>
      <c r="G1" s="56"/>
      <c r="H1" s="56"/>
      <c r="I1" s="56"/>
    </row>
    <row r="2" spans="1:9" ht="8.1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1.95" customHeight="1" x14ac:dyDescent="0.25">
      <c r="A3" s="8" t="s">
        <v>49</v>
      </c>
    </row>
    <row r="4" spans="1:9" ht="20.100000000000001" customHeight="1" x14ac:dyDescent="0.25">
      <c r="A4" s="3" t="s">
        <v>237</v>
      </c>
      <c r="B4" s="86" t="s">
        <v>50</v>
      </c>
      <c r="C4" s="86" t="s">
        <v>51</v>
      </c>
      <c r="D4" s="86" t="s">
        <v>52</v>
      </c>
      <c r="E4" s="86" t="s">
        <v>53</v>
      </c>
      <c r="F4" s="86" t="s">
        <v>54</v>
      </c>
    </row>
    <row r="5" spans="1:9" ht="17.100000000000001" customHeight="1" x14ac:dyDescent="0.25">
      <c r="A5" t="s">
        <v>318</v>
      </c>
      <c r="B5" s="64">
        <v>50000</v>
      </c>
      <c r="C5" s="64">
        <v>60000</v>
      </c>
      <c r="D5" s="64">
        <v>70000</v>
      </c>
      <c r="E5" s="64">
        <v>85000</v>
      </c>
      <c r="F5" s="64">
        <v>100000</v>
      </c>
    </row>
    <row r="6" spans="1:9" ht="17.100000000000001" customHeight="1" x14ac:dyDescent="0.25">
      <c r="A6" t="s">
        <v>195</v>
      </c>
      <c r="B6" s="81">
        <f>'Calendrier Ouverture'!$B$28</f>
        <v>165</v>
      </c>
      <c r="C6" s="81">
        <f>'Calendrier Ouverture'!$B$28</f>
        <v>165</v>
      </c>
      <c r="D6" s="81">
        <f>'Calendrier Ouverture'!$B$28</f>
        <v>165</v>
      </c>
      <c r="E6" s="81">
        <f>'Calendrier Ouverture'!$B$28</f>
        <v>165</v>
      </c>
      <c r="F6" s="81">
        <f>'Calendrier Ouverture'!$B$28</f>
        <v>165</v>
      </c>
    </row>
    <row r="7" spans="1:9" ht="17.100000000000001" customHeight="1" x14ac:dyDescent="0.25">
      <c r="A7" s="3" t="s">
        <v>238</v>
      </c>
      <c r="B7" s="76">
        <f>B5/B6</f>
        <v>303.030303030303</v>
      </c>
      <c r="C7" s="76">
        <f>C5/C6</f>
        <v>363.63636363636363</v>
      </c>
      <c r="D7" s="76">
        <f>D5/D6</f>
        <v>424.24242424242425</v>
      </c>
      <c r="E7" s="76">
        <f>E5/E6</f>
        <v>515.15151515151513</v>
      </c>
      <c r="F7" s="76">
        <f>F5/F6</f>
        <v>606.06060606060601</v>
      </c>
    </row>
    <row r="9" spans="1:9" x14ac:dyDescent="0.25">
      <c r="A9" s="8" t="s">
        <v>319</v>
      </c>
    </row>
    <row r="10" spans="1:9" ht="21.95" customHeight="1" x14ac:dyDescent="0.25">
      <c r="A10" t="s">
        <v>320</v>
      </c>
      <c r="B10" s="87">
        <v>19</v>
      </c>
    </row>
    <row r="11" spans="1:9" ht="20.100000000000001" customHeight="1" x14ac:dyDescent="0.25">
      <c r="A11" t="s">
        <v>321</v>
      </c>
      <c r="B11" s="87">
        <v>15</v>
      </c>
    </row>
    <row r="12" spans="1:9" x14ac:dyDescent="0.25">
      <c r="A12" t="s">
        <v>322</v>
      </c>
      <c r="B12" s="87">
        <v>35</v>
      </c>
    </row>
    <row r="13" spans="1:9" x14ac:dyDescent="0.25">
      <c r="A13" t="s">
        <v>323</v>
      </c>
      <c r="B13" s="87">
        <v>15</v>
      </c>
    </row>
    <row r="14" spans="1:9" x14ac:dyDescent="0.25">
      <c r="A14" t="s">
        <v>324</v>
      </c>
      <c r="B14" s="87">
        <v>20</v>
      </c>
    </row>
    <row r="15" spans="1:9" x14ac:dyDescent="0.25">
      <c r="A15" t="s">
        <v>325</v>
      </c>
      <c r="B15" s="87">
        <v>15</v>
      </c>
    </row>
    <row r="16" spans="1:9" ht="20.100000000000001" customHeight="1" x14ac:dyDescent="0.25">
      <c r="A16" t="s">
        <v>326</v>
      </c>
      <c r="B16" s="89">
        <v>0.7</v>
      </c>
    </row>
    <row r="17" spans="1:9" ht="17.100000000000001" customHeight="1" x14ac:dyDescent="0.25">
      <c r="A17" t="s">
        <v>327</v>
      </c>
      <c r="B17" s="75">
        <f>1-B16</f>
        <v>0.30000000000000004</v>
      </c>
    </row>
    <row r="18" spans="1:9" ht="17.100000000000001" customHeight="1" x14ac:dyDescent="0.25">
      <c r="A18" s="10" t="s">
        <v>328</v>
      </c>
      <c r="B18" s="90">
        <f>B16*B10+B17*B11</f>
        <v>17.8</v>
      </c>
    </row>
    <row r="19" spans="1:9" ht="17.100000000000001" customHeight="1" x14ac:dyDescent="0.25">
      <c r="A19" s="10" t="s">
        <v>329</v>
      </c>
      <c r="B19" s="90">
        <f>B16*B12+B17*B13</f>
        <v>29</v>
      </c>
    </row>
    <row r="20" spans="1:9" x14ac:dyDescent="0.25">
      <c r="A20" s="10" t="s">
        <v>330</v>
      </c>
      <c r="B20" s="90">
        <f>B16*B14+B17*B15</f>
        <v>18.5</v>
      </c>
    </row>
    <row r="21" spans="1:9" ht="20.100000000000001" customHeight="1" x14ac:dyDescent="0.25"/>
    <row r="22" spans="1:9" ht="17.100000000000001" customHeight="1" x14ac:dyDescent="0.25">
      <c r="A22" s="92" t="s">
        <v>55</v>
      </c>
      <c r="G22" s="3" t="s">
        <v>331</v>
      </c>
      <c r="H22" s="3" t="s">
        <v>332</v>
      </c>
      <c r="I22" s="3" t="s">
        <v>240</v>
      </c>
    </row>
    <row r="23" spans="1:9" ht="17.100000000000001" customHeight="1" x14ac:dyDescent="0.25">
      <c r="A23" s="91" t="s">
        <v>119</v>
      </c>
      <c r="B23" s="62">
        <f>SUM(B24:B27)</f>
        <v>1150000</v>
      </c>
      <c r="C23" s="62">
        <f>SUM(C24:C27)</f>
        <v>1376700</v>
      </c>
      <c r="D23" s="62">
        <f>SUM(D24:D27)</f>
        <v>1595150</v>
      </c>
      <c r="E23" s="62">
        <f>SUM(E24:E27)</f>
        <v>1931075</v>
      </c>
      <c r="F23" s="62">
        <f>SUM(F24:F27)</f>
        <v>2267000</v>
      </c>
    </row>
    <row r="24" spans="1:9" x14ac:dyDescent="0.25">
      <c r="A24" t="s">
        <v>333</v>
      </c>
      <c r="B24" s="72">
        <f>$H24*B$7*$G24*B$6</f>
        <v>890000</v>
      </c>
      <c r="C24" s="72">
        <f>$H24*C$7*$G24*C$6</f>
        <v>1068000</v>
      </c>
      <c r="D24" s="72">
        <f>$H24*D$7*$G24*D$6</f>
        <v>1246000</v>
      </c>
      <c r="E24" s="72">
        <f>$H24*E$7*$G24*E$6</f>
        <v>1513000</v>
      </c>
      <c r="F24" s="72">
        <f>$H24*F$7*$G24*F$6</f>
        <v>1780000</v>
      </c>
      <c r="G24" s="93">
        <f>B18</f>
        <v>17.8</v>
      </c>
      <c r="H24" s="94">
        <v>1</v>
      </c>
      <c r="I24" t="s">
        <v>334</v>
      </c>
    </row>
    <row r="25" spans="1:9" x14ac:dyDescent="0.25">
      <c r="A25" t="s">
        <v>56</v>
      </c>
      <c r="B25" s="72">
        <f>7*$G25*B$6</f>
        <v>57750</v>
      </c>
      <c r="C25" s="72">
        <f>8*$G25*C$6</f>
        <v>66000</v>
      </c>
      <c r="D25" s="72">
        <f>8*$G25*D$6</f>
        <v>66000</v>
      </c>
      <c r="E25" s="72">
        <f>9*$G25*E$6</f>
        <v>74250</v>
      </c>
      <c r="F25" s="72">
        <f>10*$G25*F$6</f>
        <v>82500</v>
      </c>
      <c r="G25" s="87">
        <v>50</v>
      </c>
      <c r="H25" s="95" t="s">
        <v>335</v>
      </c>
      <c r="I25" t="s">
        <v>336</v>
      </c>
    </row>
    <row r="26" spans="1:9" x14ac:dyDescent="0.25">
      <c r="A26" t="s">
        <v>167</v>
      </c>
      <c r="B26" s="72">
        <f>$H26*B$7*$G26*B$6</f>
        <v>82250</v>
      </c>
      <c r="C26" s="72">
        <f>$H26*C$7*$G26*C$6</f>
        <v>98699.999999999985</v>
      </c>
      <c r="D26" s="72">
        <f>$H26*D$7*$G26*D$6</f>
        <v>115150.00000000001</v>
      </c>
      <c r="E26" s="72">
        <f>$H26*E$7*$G26*E$6</f>
        <v>139825</v>
      </c>
      <c r="F26" s="72">
        <f>$H26*F$7*$G26*F$6</f>
        <v>164500</v>
      </c>
      <c r="G26" s="87">
        <v>35</v>
      </c>
      <c r="H26" s="94">
        <v>4.7E-2</v>
      </c>
      <c r="I26" t="s">
        <v>337</v>
      </c>
    </row>
    <row r="27" spans="1:9" ht="20.100000000000001" customHeight="1" x14ac:dyDescent="0.25">
      <c r="A27" t="s">
        <v>338</v>
      </c>
      <c r="B27" s="72">
        <f>$H27*B$7*$G27*B$6</f>
        <v>119999.99999999997</v>
      </c>
      <c r="C27" s="72">
        <f>$H27*C$7*$G27*C$6</f>
        <v>143999.99999999997</v>
      </c>
      <c r="D27" s="72">
        <f>$H27*D$7*$G27*D$6</f>
        <v>168000</v>
      </c>
      <c r="E27" s="72">
        <f>$H27*E$7*$G27*E$6</f>
        <v>203999.99999999997</v>
      </c>
      <c r="F27" s="72">
        <f>$H27*F$7*$G27*F$6</f>
        <v>239999.99999999994</v>
      </c>
      <c r="G27" s="88">
        <v>8</v>
      </c>
      <c r="H27" s="89">
        <v>0.3</v>
      </c>
      <c r="I27" t="s">
        <v>339</v>
      </c>
    </row>
    <row r="28" spans="1:9" ht="17.100000000000001" customHeight="1" x14ac:dyDescent="0.25"/>
    <row r="29" spans="1:9" ht="17.100000000000001" customHeight="1" x14ac:dyDescent="0.25">
      <c r="A29" s="3" t="s">
        <v>241</v>
      </c>
      <c r="B29" s="62">
        <f>SUM(B30:B32)</f>
        <v>355019.99999999994</v>
      </c>
      <c r="C29" s="62">
        <f>SUM(C30:C32)</f>
        <v>430380</v>
      </c>
      <c r="D29" s="62">
        <f>SUM(D30:D32)</f>
        <v>505740</v>
      </c>
      <c r="E29" s="62">
        <f>SUM(E30:E32)</f>
        <v>607890</v>
      </c>
      <c r="F29" s="62">
        <f>SUM(F30:F32)</f>
        <v>710039.99999999988</v>
      </c>
    </row>
    <row r="30" spans="1:9" x14ac:dyDescent="0.25">
      <c r="A30" t="s">
        <v>105</v>
      </c>
      <c r="B30" s="72">
        <f>$H30*B$7*$G30*B$6</f>
        <v>129149.99999999999</v>
      </c>
      <c r="C30" s="72">
        <f>$H30*C$7*$G30*C$6</f>
        <v>154979.99999999997</v>
      </c>
      <c r="D30" s="72">
        <f>$H30*D$7*$G30*D$6</f>
        <v>180810</v>
      </c>
      <c r="E30" s="72">
        <f>$H30*E$7*$G30*E$6</f>
        <v>219554.99999999994</v>
      </c>
      <c r="F30" s="72">
        <f>$H30*F$7*$G30*F$6</f>
        <v>258299.99999999997</v>
      </c>
      <c r="G30" s="87">
        <v>9</v>
      </c>
      <c r="H30" s="94">
        <v>0.28699999999999998</v>
      </c>
      <c r="I30" t="s">
        <v>340</v>
      </c>
    </row>
    <row r="31" spans="1:9" ht="17.100000000000001" customHeight="1" x14ac:dyDescent="0.25">
      <c r="A31" t="s">
        <v>341</v>
      </c>
      <c r="B31" s="72">
        <f>$H31*B$7*$G31*B$6</f>
        <v>138749.99999999997</v>
      </c>
      <c r="C31" s="72">
        <f>$H31*C$7*$G31*C$6</f>
        <v>166500</v>
      </c>
      <c r="D31" s="72">
        <f>$H31*D$7*$G31*D$6</f>
        <v>194250</v>
      </c>
      <c r="E31" s="72">
        <f>$H31*E$7*$G31*E$6</f>
        <v>235875</v>
      </c>
      <c r="F31" s="72">
        <f>$H31*F$7*$G31*F$6</f>
        <v>277499.99999999994</v>
      </c>
      <c r="G31" s="93">
        <f>B20</f>
        <v>18.5</v>
      </c>
      <c r="H31" s="89">
        <v>0.15</v>
      </c>
      <c r="I31" t="s">
        <v>342</v>
      </c>
    </row>
    <row r="32" spans="1:9" ht="17.100000000000001" customHeight="1" x14ac:dyDescent="0.25">
      <c r="A32" t="s">
        <v>343</v>
      </c>
      <c r="B32" s="72">
        <f>4*4*$G32*B$6</f>
        <v>87120</v>
      </c>
      <c r="C32" s="72">
        <f>4*5*$G32*C$6</f>
        <v>108900</v>
      </c>
      <c r="D32" s="72">
        <f>4*6*$G32*D$6</f>
        <v>130680</v>
      </c>
      <c r="E32" s="72">
        <f>4*7*$G32*E$6</f>
        <v>152460</v>
      </c>
      <c r="F32" s="72">
        <f>4*8*$G32*F$6</f>
        <v>174240</v>
      </c>
      <c r="G32" s="88">
        <v>33</v>
      </c>
      <c r="H32" s="96" t="s">
        <v>344</v>
      </c>
      <c r="I32" t="s">
        <v>345</v>
      </c>
    </row>
    <row r="34" spans="1:9" ht="20.100000000000001" customHeight="1" x14ac:dyDescent="0.25">
      <c r="A34" s="3" t="s">
        <v>120</v>
      </c>
      <c r="B34" s="62">
        <f>SUM(B35:B37)</f>
        <v>83600</v>
      </c>
      <c r="C34" s="62">
        <f>SUM(C35:C37)</f>
        <v>213720</v>
      </c>
      <c r="D34" s="62">
        <f>SUM(D35:D37)</f>
        <v>249340</v>
      </c>
      <c r="E34" s="62">
        <f>SUM(E35:E37)</f>
        <v>302770</v>
      </c>
      <c r="F34" s="62">
        <f>SUM(F35:F37)</f>
        <v>356200</v>
      </c>
    </row>
    <row r="35" spans="1:9" ht="17.100000000000001" customHeight="1" x14ac:dyDescent="0.25">
      <c r="A35" t="s">
        <v>242</v>
      </c>
      <c r="B35" s="72">
        <f>$H35*B$7*$G35*B$6</f>
        <v>50100</v>
      </c>
      <c r="C35" s="72">
        <f>$H35*C$7*$G35*C$6</f>
        <v>60120</v>
      </c>
      <c r="D35" s="72">
        <f>$H35*D$7*$G35*D$6</f>
        <v>70140</v>
      </c>
      <c r="E35" s="72">
        <f>$H35*E$7*$G35*E$6</f>
        <v>85170.000000000015</v>
      </c>
      <c r="F35" s="72">
        <f>$H35*F$7*$G35*F$6</f>
        <v>100200</v>
      </c>
      <c r="G35" s="87">
        <v>6</v>
      </c>
      <c r="H35" s="94">
        <v>0.16700000000000001</v>
      </c>
      <c r="I35" t="s">
        <v>340</v>
      </c>
    </row>
    <row r="36" spans="1:9" ht="17.100000000000001" customHeight="1" x14ac:dyDescent="0.25">
      <c r="A36" t="s">
        <v>346</v>
      </c>
      <c r="B36" s="72">
        <v>0</v>
      </c>
      <c r="C36" s="72">
        <f>$H36*C$7*$G36*C$6</f>
        <v>113400</v>
      </c>
      <c r="D36" s="72">
        <f>$H36*D$7*$G36*D$6</f>
        <v>132300</v>
      </c>
      <c r="E36" s="72">
        <f>$H36*E$7*$G36*E$6</f>
        <v>160649.99999999997</v>
      </c>
      <c r="F36" s="72">
        <f>$H36*F$7*$G36*F$6</f>
        <v>188999.99999999997</v>
      </c>
      <c r="G36" s="87">
        <v>9</v>
      </c>
      <c r="H36" s="94">
        <v>0.21</v>
      </c>
      <c r="I36" t="s">
        <v>347</v>
      </c>
    </row>
    <row r="37" spans="1:9" ht="6" customHeight="1" x14ac:dyDescent="0.25">
      <c r="A37" t="s">
        <v>68</v>
      </c>
      <c r="B37" s="72">
        <f>$H37*B$7*$G37*B$6</f>
        <v>33499.999999999993</v>
      </c>
      <c r="C37" s="72">
        <f>$H37*C$7*$G37*C$6</f>
        <v>40200</v>
      </c>
      <c r="D37" s="72">
        <f>$H37*D$7*$G37*D$6</f>
        <v>46900</v>
      </c>
      <c r="E37" s="72">
        <f>$H37*E$7*$G37*E$6</f>
        <v>56949.999999999993</v>
      </c>
      <c r="F37" s="72">
        <f>$H37*F$7*$G37*F$6</f>
        <v>66999.999999999985</v>
      </c>
      <c r="G37" s="87">
        <v>10</v>
      </c>
      <c r="H37" s="94">
        <v>6.7000000000000004E-2</v>
      </c>
      <c r="I37" t="s">
        <v>340</v>
      </c>
    </row>
    <row r="38" spans="1:9" ht="20.100000000000001" customHeight="1" x14ac:dyDescent="0.25"/>
    <row r="39" spans="1:9" ht="6" customHeight="1" x14ac:dyDescent="0.25">
      <c r="A39" s="3" t="s">
        <v>121</v>
      </c>
      <c r="B39" s="62">
        <f>SUM(B40:B50)</f>
        <v>2590587.5</v>
      </c>
      <c r="C39" s="62">
        <f>SUM(C40:C50)</f>
        <v>3194325</v>
      </c>
      <c r="D39" s="62">
        <f>SUM(D40:D50)</f>
        <v>3798062.5</v>
      </c>
      <c r="E39" s="62">
        <f>SUM(E40:E50)</f>
        <v>4608925</v>
      </c>
      <c r="F39" s="62">
        <f>SUM(F40:F50)</f>
        <v>5439787.5</v>
      </c>
    </row>
    <row r="40" spans="1:9" ht="21.95" customHeight="1" x14ac:dyDescent="0.25">
      <c r="A40" t="s">
        <v>348</v>
      </c>
      <c r="B40" s="72">
        <f>$H40*B$7*$G40*B$6</f>
        <v>580000</v>
      </c>
      <c r="C40" s="72">
        <f>$H40*C$7*$G40*C$6</f>
        <v>696000.00000000012</v>
      </c>
      <c r="D40" s="72">
        <f>$H40*D$7*$G40*D$6</f>
        <v>812000.00000000012</v>
      </c>
      <c r="E40" s="72">
        <f>$H40*E$7*$G40*E$6</f>
        <v>986000</v>
      </c>
      <c r="F40" s="72">
        <f>$H40*F$7*$G40*F$6</f>
        <v>1160000</v>
      </c>
      <c r="G40" s="93">
        <f>B19</f>
        <v>29</v>
      </c>
      <c r="H40" s="94">
        <v>0.4</v>
      </c>
      <c r="I40" t="s">
        <v>349</v>
      </c>
    </row>
    <row r="41" spans="1:9" ht="17.100000000000001" customHeight="1" x14ac:dyDescent="0.25">
      <c r="A41" t="s">
        <v>57</v>
      </c>
      <c r="B41" s="72">
        <f>$H41*B$7*$G41*B$6</f>
        <v>749999.99999999988</v>
      </c>
      <c r="C41" s="72">
        <f>$H41*C$7*$G41*C$6</f>
        <v>899999.99999999988</v>
      </c>
      <c r="D41" s="72">
        <f>$H41*D$7*$G41*D$6</f>
        <v>1050000</v>
      </c>
      <c r="E41" s="72">
        <f>$H41*E$7*$G41*E$6</f>
        <v>1275000</v>
      </c>
      <c r="F41" s="72">
        <f>$H41*F$7*$G41*F$6</f>
        <v>1499999.9999999998</v>
      </c>
      <c r="G41" s="87">
        <v>30</v>
      </c>
      <c r="H41" s="94">
        <v>0.5</v>
      </c>
      <c r="I41" t="s">
        <v>350</v>
      </c>
    </row>
    <row r="42" spans="1:9" ht="17.100000000000001" customHeight="1" x14ac:dyDescent="0.25">
      <c r="A42" t="s">
        <v>58</v>
      </c>
      <c r="B42" s="72">
        <f>45*$G42</f>
        <v>157500</v>
      </c>
      <c r="C42" s="72">
        <f>55*$G42</f>
        <v>192500</v>
      </c>
      <c r="D42" s="72">
        <f>65*$G42</f>
        <v>227500</v>
      </c>
      <c r="E42" s="72">
        <f>75*$G42</f>
        <v>262500</v>
      </c>
      <c r="F42" s="72">
        <f>85*$G42</f>
        <v>297500</v>
      </c>
      <c r="G42" s="87">
        <v>3500</v>
      </c>
      <c r="H42" s="95" t="s">
        <v>351</v>
      </c>
      <c r="I42" t="s">
        <v>352</v>
      </c>
    </row>
    <row r="43" spans="1:9" ht="17.100000000000001" customHeight="1" x14ac:dyDescent="0.25">
      <c r="A43" t="s">
        <v>122</v>
      </c>
      <c r="B43" s="72">
        <f>$H43*B$7*$G43*B$6</f>
        <v>99999.999999999985</v>
      </c>
      <c r="C43" s="72">
        <f>$H43*C$7*$G43*C$6</f>
        <v>120000.00000000001</v>
      </c>
      <c r="D43" s="72">
        <f>$H43*D$7*$G43*D$6</f>
        <v>140000.00000000003</v>
      </c>
      <c r="E43" s="72">
        <f>$H43*E$7*$G43*E$6</f>
        <v>170000</v>
      </c>
      <c r="F43" s="72">
        <f>$H43*F$7*$G43*F$6</f>
        <v>199999.99999999997</v>
      </c>
      <c r="G43" s="87">
        <v>10</v>
      </c>
      <c r="H43" s="94">
        <v>0.2</v>
      </c>
      <c r="I43" t="s">
        <v>353</v>
      </c>
    </row>
    <row r="44" spans="1:9" ht="17.100000000000001" customHeight="1" x14ac:dyDescent="0.25">
      <c r="A44" t="s">
        <v>354</v>
      </c>
      <c r="B44" s="72">
        <f>$H44*B$7*$G44*B$6</f>
        <v>89999.999999999985</v>
      </c>
      <c r="C44" s="72">
        <f>$H44*C$7*$G44*C$6</f>
        <v>108000</v>
      </c>
      <c r="D44" s="72">
        <f>$H44*D$7*$G44*D$6</f>
        <v>126000</v>
      </c>
      <c r="E44" s="72">
        <f>$H44*E$7*$G44*E$6</f>
        <v>153000</v>
      </c>
      <c r="F44" s="72">
        <f>$H44*F$7*$G44*F$6</f>
        <v>179999.99999999997</v>
      </c>
      <c r="G44" s="88">
        <v>15</v>
      </c>
      <c r="H44" s="89">
        <v>0.12</v>
      </c>
      <c r="I44" t="s">
        <v>355</v>
      </c>
    </row>
    <row r="45" spans="1:9" ht="17.100000000000001" customHeight="1" x14ac:dyDescent="0.25">
      <c r="A45" t="s">
        <v>59</v>
      </c>
      <c r="B45" s="72">
        <f>30*$G45</f>
        <v>600000</v>
      </c>
      <c r="C45" s="72">
        <f>38*$G45</f>
        <v>760000</v>
      </c>
      <c r="D45" s="72">
        <f>46*$G45</f>
        <v>920000</v>
      </c>
      <c r="E45" s="72">
        <f>55*$G45</f>
        <v>1100000</v>
      </c>
      <c r="F45" s="72">
        <f>65*$G45</f>
        <v>1300000</v>
      </c>
      <c r="G45" s="87">
        <v>20000</v>
      </c>
      <c r="H45" s="95" t="s">
        <v>356</v>
      </c>
      <c r="I45" t="s">
        <v>357</v>
      </c>
    </row>
    <row r="46" spans="1:9" ht="6" customHeight="1" x14ac:dyDescent="0.25">
      <c r="A46" t="s">
        <v>358</v>
      </c>
      <c r="B46" s="72">
        <f>150*$G46</f>
        <v>37500</v>
      </c>
      <c r="C46" s="72">
        <f>250*$G46</f>
        <v>62500</v>
      </c>
      <c r="D46" s="72">
        <f>350*$G46</f>
        <v>87500</v>
      </c>
      <c r="E46" s="72">
        <f>450*$G46</f>
        <v>112500</v>
      </c>
      <c r="F46" s="72">
        <f>550*$G46</f>
        <v>137500</v>
      </c>
      <c r="G46" s="88">
        <v>250</v>
      </c>
      <c r="H46" s="96" t="s">
        <v>359</v>
      </c>
      <c r="I46" t="s">
        <v>360</v>
      </c>
    </row>
    <row r="47" spans="1:9" ht="20.100000000000001" customHeight="1" x14ac:dyDescent="0.25">
      <c r="A47" t="s">
        <v>361</v>
      </c>
      <c r="B47" s="72">
        <f>12*$G47</f>
        <v>150000</v>
      </c>
      <c r="C47" s="72">
        <f>16*$G47</f>
        <v>200000</v>
      </c>
      <c r="D47" s="72">
        <f>20*$G47</f>
        <v>250000</v>
      </c>
      <c r="E47" s="72">
        <f>26*$G47</f>
        <v>325000</v>
      </c>
      <c r="F47" s="72">
        <f>32*$G47</f>
        <v>400000</v>
      </c>
      <c r="G47" s="88">
        <v>12500</v>
      </c>
      <c r="H47" s="96" t="s">
        <v>362</v>
      </c>
      <c r="I47" t="s">
        <v>363</v>
      </c>
    </row>
    <row r="48" spans="1:9" ht="6" customHeight="1" x14ac:dyDescent="0.25">
      <c r="A48" t="s">
        <v>309</v>
      </c>
      <c r="B48" s="72">
        <f>$H48*B$7*$G48*B$6</f>
        <v>59999.999999999985</v>
      </c>
      <c r="C48" s="72">
        <f>$H48*C$7*$G48*C$6</f>
        <v>71999.999999999985</v>
      </c>
      <c r="D48" s="72">
        <f>$H48*D$7*$G48*D$6</f>
        <v>84000</v>
      </c>
      <c r="E48" s="72">
        <f>$H48*E$7*$G48*E$6</f>
        <v>101999.99999999999</v>
      </c>
      <c r="F48" s="72">
        <f>$H48*F$7*$G48*F$6</f>
        <v>119999.99999999997</v>
      </c>
      <c r="G48" s="88">
        <v>8</v>
      </c>
      <c r="H48" s="89">
        <v>0.15</v>
      </c>
      <c r="I48" t="s">
        <v>364</v>
      </c>
    </row>
    <row r="49" spans="1:9" ht="20.100000000000001" customHeight="1" x14ac:dyDescent="0.25">
      <c r="A49" t="s">
        <v>365</v>
      </c>
      <c r="B49" s="72">
        <f>12*$G49*B$6</f>
        <v>49500</v>
      </c>
      <c r="C49" s="72">
        <f>15*$G49*C$6</f>
        <v>61875</v>
      </c>
      <c r="D49" s="72">
        <f>18*$G49*D$6</f>
        <v>74250</v>
      </c>
      <c r="E49" s="72">
        <f>22*$G49*E$6</f>
        <v>90750</v>
      </c>
      <c r="F49" s="72">
        <f>26*$G49*F$6</f>
        <v>107250</v>
      </c>
      <c r="G49" s="88">
        <v>25</v>
      </c>
      <c r="H49" s="96" t="s">
        <v>366</v>
      </c>
      <c r="I49" t="s">
        <v>367</v>
      </c>
    </row>
    <row r="50" spans="1:9" ht="17.100000000000001" customHeight="1" x14ac:dyDescent="0.25">
      <c r="A50" t="s">
        <v>368</v>
      </c>
      <c r="B50" s="72">
        <f>15*$G50*B$6</f>
        <v>16087.5</v>
      </c>
      <c r="C50" s="72">
        <f>20*$G50*C$6</f>
        <v>21450</v>
      </c>
      <c r="D50" s="72">
        <f>25*$G50*D$6</f>
        <v>26812.5</v>
      </c>
      <c r="E50" s="72">
        <f>30*$G50*E$6</f>
        <v>32175</v>
      </c>
      <c r="F50" s="72">
        <f>35*$G50*F$6</f>
        <v>37537.5</v>
      </c>
      <c r="G50" s="88">
        <v>6.5</v>
      </c>
      <c r="H50" s="96" t="s">
        <v>369</v>
      </c>
      <c r="I50" t="s">
        <v>370</v>
      </c>
    </row>
    <row r="51" spans="1:9" ht="9.9499999999999993" customHeight="1" x14ac:dyDescent="0.25"/>
    <row r="52" spans="1:9" ht="18" customHeight="1" x14ac:dyDescent="0.25">
      <c r="A52" s="3" t="s">
        <v>243</v>
      </c>
      <c r="B52" s="62">
        <f>SUM(B53:B54)</f>
        <v>44500</v>
      </c>
      <c r="C52" s="62">
        <f>SUM(C53:C54)</f>
        <v>736800</v>
      </c>
      <c r="D52" s="62">
        <f>SUM(D53:D54)</f>
        <v>875820</v>
      </c>
      <c r="E52" s="62">
        <f>SUM(E53:E54)</f>
        <v>1012092</v>
      </c>
      <c r="F52" s="62">
        <f>SUM(F53:F54)</f>
        <v>1151440</v>
      </c>
    </row>
    <row r="53" spans="1:9" ht="18" customHeight="1" x14ac:dyDescent="0.25">
      <c r="A53" t="s">
        <v>244</v>
      </c>
      <c r="B53" s="72">
        <v>0</v>
      </c>
      <c r="C53" s="72">
        <f>40*100*0.8*$G53</f>
        <v>665600</v>
      </c>
      <c r="D53" s="72">
        <f>40*110*0.85*$G53</f>
        <v>777920</v>
      </c>
      <c r="E53" s="72">
        <f>40*120*0.88*$G53</f>
        <v>878592</v>
      </c>
      <c r="F53" s="72">
        <f>40*130*0.9*$G53</f>
        <v>973440</v>
      </c>
      <c r="G53" s="88">
        <v>208</v>
      </c>
      <c r="H53" s="96" t="s">
        <v>371</v>
      </c>
      <c r="I53" t="s">
        <v>372</v>
      </c>
    </row>
    <row r="54" spans="1:9" ht="18" customHeight="1" x14ac:dyDescent="0.25">
      <c r="A54" t="s">
        <v>373</v>
      </c>
      <c r="B54" s="72">
        <f>500*$G54</f>
        <v>44500</v>
      </c>
      <c r="C54" s="72">
        <f>800*$G54</f>
        <v>71200</v>
      </c>
      <c r="D54" s="72">
        <f>1100*$G54</f>
        <v>97900</v>
      </c>
      <c r="E54" s="72">
        <f>1500*$G54</f>
        <v>133500</v>
      </c>
      <c r="F54" s="72">
        <f>2000*$G54</f>
        <v>178000</v>
      </c>
      <c r="G54" s="88">
        <v>89</v>
      </c>
      <c r="H54" s="96" t="s">
        <v>374</v>
      </c>
      <c r="I54" t="s">
        <v>375</v>
      </c>
    </row>
    <row r="56" spans="1:9" ht="15.75" x14ac:dyDescent="0.25">
      <c r="A56" s="97" t="s">
        <v>376</v>
      </c>
      <c r="B56" s="98">
        <f>B23+B29+B34+B39+B52</f>
        <v>4223707.5</v>
      </c>
      <c r="C56" s="98">
        <f>C23+C29+C34+C39+C52</f>
        <v>5951925</v>
      </c>
      <c r="D56" s="98">
        <f>D23+D29+D34+D39+D52</f>
        <v>7024112.5</v>
      </c>
      <c r="E56" s="98">
        <f>E23+E29+E34+E39+E52</f>
        <v>8462752</v>
      </c>
      <c r="F56" s="98">
        <f>F23+F29+F34+F39+F52</f>
        <v>9924467.5</v>
      </c>
    </row>
  </sheetData>
  <mergeCells count="1">
    <mergeCell ref="A1:I1"/>
  </mergeCells>
  <pageMargins left="0.25" right="0.25" top="0.75" bottom="0.75" header="0.3" footer="0.3"/>
  <pageSetup paperSize="8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C24C-57BB-47FA-B99A-4A3BCA6CCD17}">
  <sheetPr>
    <pageSetUpPr fitToPage="1"/>
  </sheetPr>
  <dimension ref="A1:G22"/>
  <sheetViews>
    <sheetView zoomScale="115" zoomScaleNormal="115" workbookViewId="0">
      <selection activeCell="A22" sqref="A22:G25"/>
    </sheetView>
  </sheetViews>
  <sheetFormatPr baseColWidth="10" defaultRowHeight="15" x14ac:dyDescent="0.25"/>
  <cols>
    <col min="1" max="1" width="43.85546875" customWidth="1"/>
    <col min="2" max="6" width="21" customWidth="1"/>
    <col min="7" max="7" width="61" customWidth="1"/>
    <col min="8" max="8" width="14.28515625" customWidth="1"/>
    <col min="9" max="9" width="58.7109375" customWidth="1"/>
  </cols>
  <sheetData>
    <row r="1" spans="1:7" ht="18.75" x14ac:dyDescent="0.25">
      <c r="A1" s="56" t="s">
        <v>245</v>
      </c>
      <c r="B1" s="56"/>
      <c r="C1" s="56"/>
      <c r="D1" s="56"/>
      <c r="E1" s="56"/>
      <c r="F1" s="56"/>
      <c r="G1" s="56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58" t="s">
        <v>246</v>
      </c>
      <c r="B3" s="58"/>
      <c r="C3" s="58"/>
      <c r="D3" s="58"/>
      <c r="E3" s="58"/>
      <c r="F3" s="58"/>
      <c r="G3" s="1"/>
    </row>
    <row r="4" spans="1:7" x14ac:dyDescent="0.25">
      <c r="A4" s="32" t="s">
        <v>237</v>
      </c>
      <c r="B4" s="33" t="s">
        <v>50</v>
      </c>
      <c r="C4" s="33" t="s">
        <v>51</v>
      </c>
      <c r="D4" s="33" t="s">
        <v>52</v>
      </c>
      <c r="E4" s="33" t="s">
        <v>53</v>
      </c>
      <c r="F4" s="33" t="s">
        <v>54</v>
      </c>
      <c r="G4" s="1"/>
    </row>
    <row r="5" spans="1:7" x14ac:dyDescent="0.25">
      <c r="A5" s="1" t="s">
        <v>238</v>
      </c>
      <c r="B5" s="36">
        <f>'Prévisionnel Revenus'!B7</f>
        <v>303.030303030303</v>
      </c>
      <c r="C5" s="36">
        <f>'Prévisionnel Revenus'!C7</f>
        <v>363.63636363636363</v>
      </c>
      <c r="D5" s="36">
        <f>'Prévisionnel Revenus'!D7</f>
        <v>424.24242424242425</v>
      </c>
      <c r="E5" s="36">
        <f>'Prévisionnel Revenus'!E7</f>
        <v>515.15151515151513</v>
      </c>
      <c r="F5" s="36">
        <f>'Prévisionnel Revenus'!F7</f>
        <v>606.06060606060601</v>
      </c>
      <c r="G5" s="1"/>
    </row>
    <row r="6" spans="1:7" x14ac:dyDescent="0.25">
      <c r="A6" s="1" t="s">
        <v>195</v>
      </c>
      <c r="B6" s="36">
        <f>'Calendrier Ouverture'!$B$28</f>
        <v>165</v>
      </c>
      <c r="C6" s="36">
        <f>'Calendrier Ouverture'!$B$28</f>
        <v>165</v>
      </c>
      <c r="D6" s="36">
        <f>'Calendrier Ouverture'!$B$28</f>
        <v>165</v>
      </c>
      <c r="E6" s="36">
        <f>'Calendrier Ouverture'!$B$28</f>
        <v>165</v>
      </c>
      <c r="F6" s="36">
        <f>'Calendrier Ouverture'!$B$28</f>
        <v>165</v>
      </c>
      <c r="G6" s="1"/>
    </row>
    <row r="7" spans="1:7" x14ac:dyDescent="0.25">
      <c r="A7" s="30" t="s">
        <v>239</v>
      </c>
      <c r="B7" s="99">
        <f>'Prévisionnel Revenus'!B5</f>
        <v>50000</v>
      </c>
      <c r="C7" s="99">
        <f>'Prévisionnel Revenus'!C5</f>
        <v>60000</v>
      </c>
      <c r="D7" s="99">
        <f>'Prévisionnel Revenus'!D5</f>
        <v>70000</v>
      </c>
      <c r="E7" s="99">
        <f>'Prévisionnel Revenus'!E5</f>
        <v>85000</v>
      </c>
      <c r="F7" s="99">
        <f>'Prévisionnel Revenus'!F5</f>
        <v>100000</v>
      </c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1" t="s">
        <v>247</v>
      </c>
      <c r="B9" s="37"/>
      <c r="C9" s="37"/>
      <c r="D9" s="37"/>
      <c r="E9" s="37"/>
      <c r="F9" s="37"/>
      <c r="G9" s="11" t="s">
        <v>248</v>
      </c>
    </row>
    <row r="10" spans="1:7" x14ac:dyDescent="0.25">
      <c r="A10" s="13" t="s">
        <v>119</v>
      </c>
      <c r="B10" s="100">
        <f>'Prévisionnel Revenus'!B23</f>
        <v>1150000</v>
      </c>
      <c r="C10" s="100">
        <f>'Prévisionnel Revenus'!C23</f>
        <v>1376700</v>
      </c>
      <c r="D10" s="100">
        <f>'Prévisionnel Revenus'!D23</f>
        <v>1595150</v>
      </c>
      <c r="E10" s="100">
        <f>'Prévisionnel Revenus'!E23</f>
        <v>1931075</v>
      </c>
      <c r="F10" s="100">
        <f>'Prévisionnel Revenus'!F23</f>
        <v>2267000</v>
      </c>
      <c r="G10" s="40" t="s">
        <v>249</v>
      </c>
    </row>
    <row r="11" spans="1:7" x14ac:dyDescent="0.25">
      <c r="A11" s="16" t="s">
        <v>241</v>
      </c>
      <c r="B11" s="101">
        <f>'Prévisionnel Revenus'!B29</f>
        <v>355019.99999999994</v>
      </c>
      <c r="C11" s="101">
        <f>'Prévisionnel Revenus'!C29</f>
        <v>430380</v>
      </c>
      <c r="D11" s="101">
        <f>'Prévisionnel Revenus'!D29</f>
        <v>505740</v>
      </c>
      <c r="E11" s="101">
        <f>'Prévisionnel Revenus'!E29</f>
        <v>607890</v>
      </c>
      <c r="F11" s="101">
        <f>'Prévisionnel Revenus'!F29</f>
        <v>710039.99999999988</v>
      </c>
      <c r="G11" s="41" t="s">
        <v>250</v>
      </c>
    </row>
    <row r="12" spans="1:7" x14ac:dyDescent="0.25">
      <c r="A12" s="19" t="s">
        <v>251</v>
      </c>
      <c r="B12" s="102">
        <f>'Prévisionnel Revenus'!B35+'Prévisionnel Revenus'!B37</f>
        <v>83600</v>
      </c>
      <c r="C12" s="102">
        <f>'Prévisionnel Revenus'!C35+'Prévisionnel Revenus'!C37</f>
        <v>100320</v>
      </c>
      <c r="D12" s="102">
        <f>'Prévisionnel Revenus'!D35+'Prévisionnel Revenus'!D37</f>
        <v>117040</v>
      </c>
      <c r="E12" s="102">
        <f>'Prévisionnel Revenus'!E35+'Prévisionnel Revenus'!E37</f>
        <v>142120</v>
      </c>
      <c r="F12" s="102">
        <f>'Prévisionnel Revenus'!F35+'Prévisionnel Revenus'!F37</f>
        <v>167200</v>
      </c>
      <c r="G12" s="42" t="s">
        <v>252</v>
      </c>
    </row>
    <row r="13" spans="1:7" x14ac:dyDescent="0.25">
      <c r="A13" s="22" t="s">
        <v>253</v>
      </c>
      <c r="B13" s="103">
        <f>'Prévisionnel Revenus'!B39</f>
        <v>2590587.5</v>
      </c>
      <c r="C13" s="103">
        <f>'Prévisionnel Revenus'!C39</f>
        <v>3194325</v>
      </c>
      <c r="D13" s="103">
        <f>'Prévisionnel Revenus'!D39</f>
        <v>3798062.5</v>
      </c>
      <c r="E13" s="103">
        <f>'Prévisionnel Revenus'!E39</f>
        <v>4608925</v>
      </c>
      <c r="F13" s="103">
        <f>'Prévisionnel Revenus'!F39</f>
        <v>5439787.5</v>
      </c>
      <c r="G13" s="43" t="s">
        <v>254</v>
      </c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15.75" x14ac:dyDescent="0.25">
      <c r="A15" s="28" t="s">
        <v>255</v>
      </c>
      <c r="B15" s="104">
        <f>SUM(B10:B13)</f>
        <v>4179207.5</v>
      </c>
      <c r="C15" s="104">
        <f>SUM(C10:C13)</f>
        <v>5101725</v>
      </c>
      <c r="D15" s="104">
        <f>SUM(D10:D13)</f>
        <v>6015992.5</v>
      </c>
      <c r="E15" s="104">
        <f>SUM(E10:E13)</f>
        <v>7290010</v>
      </c>
      <c r="F15" s="104">
        <f>SUM(F10:F13)</f>
        <v>8584027.5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30" t="s">
        <v>256</v>
      </c>
      <c r="B17" s="105">
        <f>'Phasage Investissement'!$C$61</f>
        <v>4770000</v>
      </c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57" t="s">
        <v>257</v>
      </c>
      <c r="B19" s="57"/>
      <c r="C19" s="57"/>
      <c r="D19" s="57"/>
      <c r="E19" s="57"/>
      <c r="F19" s="57"/>
      <c r="G19" s="1"/>
    </row>
    <row r="20" spans="1:7" x14ac:dyDescent="0.25">
      <c r="A20" s="31" t="s">
        <v>258</v>
      </c>
      <c r="B20" s="29">
        <f>B15/$B$17</f>
        <v>0.87614412997903568</v>
      </c>
      <c r="C20" s="29">
        <f>C15/$B$17</f>
        <v>1.0695440251572328</v>
      </c>
      <c r="D20" s="29">
        <f>D15/$B$17</f>
        <v>1.2612143605870021</v>
      </c>
      <c r="E20" s="29">
        <f>E15/$B$17</f>
        <v>1.5283039832285115</v>
      </c>
      <c r="F20" s="29">
        <f>F15/$B$17</f>
        <v>1.7995864779874213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59" t="s">
        <v>259</v>
      </c>
      <c r="B22" s="59"/>
      <c r="C22" s="59"/>
      <c r="D22" s="59"/>
      <c r="E22" s="59"/>
      <c r="F22" s="59"/>
      <c r="G22" s="59"/>
    </row>
  </sheetData>
  <mergeCells count="4">
    <mergeCell ref="A1:G1"/>
    <mergeCell ref="A3:F3"/>
    <mergeCell ref="A19:F19"/>
    <mergeCell ref="A22:G22"/>
  </mergeCells>
  <pageMargins left="0.25" right="0.25" top="0.75" bottom="0.75" header="0.3" footer="0.3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9D91-4904-4F5D-8F56-6F72B7E3B805}">
  <dimension ref="A1:G85"/>
  <sheetViews>
    <sheetView workbookViewId="0">
      <selection activeCell="H27" sqref="H27"/>
    </sheetView>
  </sheetViews>
  <sheetFormatPr baseColWidth="10" defaultRowHeight="15" x14ac:dyDescent="0.25"/>
  <cols>
    <col min="1" max="1" width="43.85546875" customWidth="1"/>
    <col min="2" max="2" width="53.28515625" customWidth="1"/>
    <col min="3" max="3" width="13.28515625" customWidth="1"/>
    <col min="4" max="4" width="24.7109375" customWidth="1"/>
    <col min="5" max="5" width="11.42578125" customWidth="1"/>
    <col min="6" max="6" width="26.7109375" customWidth="1"/>
    <col min="7" max="7" width="41.85546875" customWidth="1"/>
  </cols>
  <sheetData>
    <row r="1" spans="1:7" ht="18.75" x14ac:dyDescent="0.25">
      <c r="A1" s="85" t="s">
        <v>377</v>
      </c>
      <c r="B1" s="56"/>
      <c r="C1" s="56"/>
      <c r="D1" s="56"/>
      <c r="E1" s="56"/>
      <c r="F1" s="56"/>
      <c r="G1" s="56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58" t="s">
        <v>124</v>
      </c>
      <c r="B3" s="58"/>
      <c r="C3" s="1"/>
      <c r="D3" s="1"/>
      <c r="E3" s="1"/>
      <c r="F3" s="1"/>
      <c r="G3" s="1"/>
    </row>
    <row r="4" spans="1:7" ht="30" x14ac:dyDescent="0.25">
      <c r="A4" s="31" t="s">
        <v>378</v>
      </c>
      <c r="B4" s="44">
        <v>7</v>
      </c>
      <c r="C4" s="1"/>
      <c r="D4" s="1"/>
      <c r="E4" s="1"/>
      <c r="F4" s="1"/>
      <c r="G4" s="1"/>
    </row>
    <row r="5" spans="1:7" x14ac:dyDescent="0.25">
      <c r="A5" s="31" t="s">
        <v>260</v>
      </c>
      <c r="B5" s="44">
        <v>2</v>
      </c>
      <c r="C5" s="1"/>
      <c r="D5" s="1"/>
      <c r="E5" s="1"/>
      <c r="F5" s="1"/>
      <c r="G5" s="1"/>
    </row>
    <row r="6" spans="1:7" ht="30" x14ac:dyDescent="0.25">
      <c r="A6" s="31" t="s">
        <v>126</v>
      </c>
      <c r="B6" s="45">
        <v>0.42</v>
      </c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1" t="s">
        <v>127</v>
      </c>
      <c r="B8" s="11" t="s">
        <v>128</v>
      </c>
      <c r="C8" s="12" t="s">
        <v>129</v>
      </c>
      <c r="D8" s="12" t="s">
        <v>261</v>
      </c>
      <c r="E8" s="12" t="s">
        <v>183</v>
      </c>
      <c r="F8" s="12" t="s">
        <v>262</v>
      </c>
      <c r="G8" s="12" t="s">
        <v>130</v>
      </c>
    </row>
    <row r="9" spans="1:7" x14ac:dyDescent="0.25">
      <c r="A9" s="13" t="s">
        <v>131</v>
      </c>
      <c r="B9" s="14"/>
      <c r="C9" s="14"/>
      <c r="D9" s="14"/>
      <c r="E9" s="14"/>
      <c r="F9" s="15">
        <f>SUM(F10:F13)</f>
        <v>130214</v>
      </c>
      <c r="G9" s="14"/>
    </row>
    <row r="10" spans="1:7" x14ac:dyDescent="0.25">
      <c r="A10" s="1" t="s">
        <v>132</v>
      </c>
      <c r="B10" s="1" t="s">
        <v>133</v>
      </c>
      <c r="C10" s="46">
        <v>1</v>
      </c>
      <c r="D10" s="39">
        <v>3500</v>
      </c>
      <c r="E10" s="47">
        <f>$B$4</f>
        <v>7</v>
      </c>
      <c r="F10" s="38">
        <f>C10*D10*E10*(1+$B$6)</f>
        <v>34790</v>
      </c>
      <c r="G10" s="1" t="s">
        <v>134</v>
      </c>
    </row>
    <row r="11" spans="1:7" x14ac:dyDescent="0.25">
      <c r="A11" s="1" t="s">
        <v>132</v>
      </c>
      <c r="B11" s="1" t="s">
        <v>135</v>
      </c>
      <c r="C11" s="46">
        <v>1</v>
      </c>
      <c r="D11" s="39">
        <v>3200</v>
      </c>
      <c r="E11" s="47">
        <f>$B$4</f>
        <v>7</v>
      </c>
      <c r="F11" s="38">
        <f>C11*D11*E11*(1+$B$6)</f>
        <v>31808</v>
      </c>
      <c r="G11" s="1" t="s">
        <v>134</v>
      </c>
    </row>
    <row r="12" spans="1:7" x14ac:dyDescent="0.25">
      <c r="A12" s="1" t="s">
        <v>132</v>
      </c>
      <c r="B12" s="1" t="s">
        <v>136</v>
      </c>
      <c r="C12" s="46">
        <v>1</v>
      </c>
      <c r="D12" s="39">
        <v>3200</v>
      </c>
      <c r="E12" s="47">
        <f>$B$4</f>
        <v>7</v>
      </c>
      <c r="F12" s="38">
        <f>C12*D12*E12*(1+$B$6)</f>
        <v>31808</v>
      </c>
      <c r="G12" s="1" t="s">
        <v>134</v>
      </c>
    </row>
    <row r="13" spans="1:7" x14ac:dyDescent="0.25">
      <c r="A13" s="1" t="s">
        <v>132</v>
      </c>
      <c r="B13" s="1" t="s">
        <v>137</v>
      </c>
      <c r="C13" s="46">
        <v>1</v>
      </c>
      <c r="D13" s="39">
        <v>3200</v>
      </c>
      <c r="E13" s="47">
        <f>$B$4</f>
        <v>7</v>
      </c>
      <c r="F13" s="38">
        <f>C13*D13*E13*(1+$B$6)</f>
        <v>31808</v>
      </c>
      <c r="G13" s="1" t="s">
        <v>134</v>
      </c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30" x14ac:dyDescent="0.25">
      <c r="A15" s="19" t="s">
        <v>263</v>
      </c>
      <c r="B15" s="20"/>
      <c r="C15" s="20"/>
      <c r="D15" s="20"/>
      <c r="E15" s="20"/>
      <c r="F15" s="21">
        <f>SUM(F16:F21)</f>
        <v>253470</v>
      </c>
      <c r="G15" s="20"/>
    </row>
    <row r="16" spans="1:7" x14ac:dyDescent="0.25">
      <c r="A16" s="1" t="s">
        <v>138</v>
      </c>
      <c r="B16" s="1" t="s">
        <v>139</v>
      </c>
      <c r="C16" s="46">
        <v>2</v>
      </c>
      <c r="D16" s="39">
        <v>1900</v>
      </c>
      <c r="E16" s="47">
        <f t="shared" ref="E16:E21" si="0">$B$4</f>
        <v>7</v>
      </c>
      <c r="F16" s="38">
        <f t="shared" ref="F16:F21" si="1">C16*D16*E16*(1+$B$6)</f>
        <v>37772</v>
      </c>
      <c r="G16" s="1" t="s">
        <v>134</v>
      </c>
    </row>
    <row r="17" spans="1:7" x14ac:dyDescent="0.25">
      <c r="A17" s="1" t="s">
        <v>138</v>
      </c>
      <c r="B17" s="1" t="s">
        <v>140</v>
      </c>
      <c r="C17" s="46">
        <v>1</v>
      </c>
      <c r="D17" s="39">
        <v>1800</v>
      </c>
      <c r="E17" s="47">
        <f t="shared" si="0"/>
        <v>7</v>
      </c>
      <c r="F17" s="38">
        <f t="shared" si="1"/>
        <v>17892</v>
      </c>
      <c r="G17" s="1" t="s">
        <v>134</v>
      </c>
    </row>
    <row r="18" spans="1:7" x14ac:dyDescent="0.25">
      <c r="A18" s="1" t="s">
        <v>138</v>
      </c>
      <c r="B18" s="1" t="s">
        <v>141</v>
      </c>
      <c r="C18" s="46">
        <v>1</v>
      </c>
      <c r="D18" s="39">
        <v>2400</v>
      </c>
      <c r="E18" s="47">
        <f t="shared" si="0"/>
        <v>7</v>
      </c>
      <c r="F18" s="38">
        <f t="shared" si="1"/>
        <v>23856</v>
      </c>
      <c r="G18" s="1" t="s">
        <v>134</v>
      </c>
    </row>
    <row r="19" spans="1:7" x14ac:dyDescent="0.25">
      <c r="A19" s="1" t="s">
        <v>138</v>
      </c>
      <c r="B19" s="1" t="s">
        <v>159</v>
      </c>
      <c r="C19" s="46">
        <v>4</v>
      </c>
      <c r="D19" s="39">
        <v>1800</v>
      </c>
      <c r="E19" s="47">
        <f t="shared" si="0"/>
        <v>7</v>
      </c>
      <c r="F19" s="38">
        <f t="shared" si="1"/>
        <v>71568</v>
      </c>
      <c r="G19" s="1" t="s">
        <v>134</v>
      </c>
    </row>
    <row r="20" spans="1:7" x14ac:dyDescent="0.25">
      <c r="A20" s="1" t="s">
        <v>142</v>
      </c>
      <c r="B20" s="1" t="s">
        <v>160</v>
      </c>
      <c r="C20" s="46">
        <v>3</v>
      </c>
      <c r="D20" s="39">
        <v>2100</v>
      </c>
      <c r="E20" s="47">
        <f t="shared" si="0"/>
        <v>7</v>
      </c>
      <c r="F20" s="38">
        <f t="shared" si="1"/>
        <v>62622</v>
      </c>
      <c r="G20" s="1" t="s">
        <v>134</v>
      </c>
    </row>
    <row r="21" spans="1:7" x14ac:dyDescent="0.25">
      <c r="A21" s="1" t="s">
        <v>142</v>
      </c>
      <c r="B21" s="1" t="s">
        <v>143</v>
      </c>
      <c r="C21" s="46">
        <v>2</v>
      </c>
      <c r="D21" s="39">
        <v>2000</v>
      </c>
      <c r="E21" s="47">
        <f t="shared" si="0"/>
        <v>7</v>
      </c>
      <c r="F21" s="38">
        <f t="shared" si="1"/>
        <v>39760</v>
      </c>
      <c r="G21" s="1" t="s">
        <v>134</v>
      </c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22" t="s">
        <v>144</v>
      </c>
      <c r="B23" s="23"/>
      <c r="C23" s="23"/>
      <c r="D23" s="23"/>
      <c r="E23" s="23"/>
      <c r="F23" s="24">
        <f>SUM(F24:F25)</f>
        <v>44730</v>
      </c>
      <c r="G23" s="23"/>
    </row>
    <row r="24" spans="1:7" x14ac:dyDescent="0.25">
      <c r="A24" s="1" t="s">
        <v>145</v>
      </c>
      <c r="B24" s="1" t="s">
        <v>146</v>
      </c>
      <c r="C24" s="46">
        <v>1</v>
      </c>
      <c r="D24" s="39">
        <v>2100</v>
      </c>
      <c r="E24" s="47">
        <f>$B$4</f>
        <v>7</v>
      </c>
      <c r="F24" s="38">
        <f>C24*D24*E24*(1+$B$6)</f>
        <v>20874</v>
      </c>
      <c r="G24" s="1" t="s">
        <v>134</v>
      </c>
    </row>
    <row r="25" spans="1:7" x14ac:dyDescent="0.25">
      <c r="A25" s="1" t="s">
        <v>145</v>
      </c>
      <c r="B25" s="1" t="s">
        <v>147</v>
      </c>
      <c r="C25" s="46">
        <v>1</v>
      </c>
      <c r="D25" s="39">
        <v>2400</v>
      </c>
      <c r="E25" s="47">
        <f>$B$4</f>
        <v>7</v>
      </c>
      <c r="F25" s="38">
        <f>C25*D25*E25*(1+$B$6)</f>
        <v>23856</v>
      </c>
      <c r="G25" s="1" t="s">
        <v>148</v>
      </c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6" t="s">
        <v>149</v>
      </c>
      <c r="B27" s="17"/>
      <c r="C27" s="17"/>
      <c r="D27" s="17"/>
      <c r="E27" s="17"/>
      <c r="F27" s="18">
        <f>SUM(F28:F32)</f>
        <v>238560</v>
      </c>
      <c r="G27" s="17"/>
    </row>
    <row r="28" spans="1:7" x14ac:dyDescent="0.25">
      <c r="A28" s="1" t="s">
        <v>150</v>
      </c>
      <c r="B28" s="1" t="s">
        <v>151</v>
      </c>
      <c r="C28" s="46">
        <v>1</v>
      </c>
      <c r="D28" s="39">
        <v>3500</v>
      </c>
      <c r="E28" s="47">
        <f>$B$4</f>
        <v>7</v>
      </c>
      <c r="F28" s="38">
        <f>C28*D28*E28*(1+$B$6)</f>
        <v>34790</v>
      </c>
      <c r="G28" s="1" t="s">
        <v>134</v>
      </c>
    </row>
    <row r="29" spans="1:7" x14ac:dyDescent="0.25">
      <c r="A29" s="1" t="s">
        <v>150</v>
      </c>
      <c r="B29" s="1" t="s">
        <v>152</v>
      </c>
      <c r="C29" s="46">
        <v>3</v>
      </c>
      <c r="D29" s="39">
        <v>2300</v>
      </c>
      <c r="E29" s="47">
        <f>$B$4</f>
        <v>7</v>
      </c>
      <c r="F29" s="38">
        <f>C29*D29*E29*(1+$B$6)</f>
        <v>68586</v>
      </c>
      <c r="G29" s="1" t="s">
        <v>134</v>
      </c>
    </row>
    <row r="30" spans="1:7" x14ac:dyDescent="0.25">
      <c r="A30" s="1" t="s">
        <v>150</v>
      </c>
      <c r="B30" s="1" t="s">
        <v>153</v>
      </c>
      <c r="C30" s="46">
        <v>1</v>
      </c>
      <c r="D30" s="39">
        <v>1800</v>
      </c>
      <c r="E30" s="47">
        <f>$B$4</f>
        <v>7</v>
      </c>
      <c r="F30" s="38">
        <f>C30*D30*E30*(1+$B$6)</f>
        <v>17892</v>
      </c>
      <c r="G30" s="1" t="s">
        <v>134</v>
      </c>
    </row>
    <row r="31" spans="1:7" x14ac:dyDescent="0.25">
      <c r="A31" s="1" t="s">
        <v>150</v>
      </c>
      <c r="B31" s="1" t="s">
        <v>154</v>
      </c>
      <c r="C31" s="46">
        <v>4</v>
      </c>
      <c r="D31" s="39">
        <v>1900</v>
      </c>
      <c r="E31" s="47">
        <f>$B$4</f>
        <v>7</v>
      </c>
      <c r="F31" s="38">
        <f>C31*D31*E31*(1+$B$6)</f>
        <v>75544</v>
      </c>
      <c r="G31" s="1" t="s">
        <v>134</v>
      </c>
    </row>
    <row r="32" spans="1:7" x14ac:dyDescent="0.25">
      <c r="A32" s="1" t="s">
        <v>150</v>
      </c>
      <c r="B32" s="1" t="s">
        <v>155</v>
      </c>
      <c r="C32" s="46">
        <v>2</v>
      </c>
      <c r="D32" s="39">
        <v>2100</v>
      </c>
      <c r="E32" s="47">
        <f>$B$4</f>
        <v>7</v>
      </c>
      <c r="F32" s="38">
        <f>C32*D32*E32*(1+$B$6)</f>
        <v>41748</v>
      </c>
      <c r="G32" s="1" t="s">
        <v>134</v>
      </c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25" t="s">
        <v>196</v>
      </c>
      <c r="B34" s="26"/>
      <c r="C34" s="26"/>
      <c r="D34" s="26"/>
      <c r="E34" s="26"/>
      <c r="F34" s="27">
        <f>SUM(F35:F36)</f>
        <v>46718</v>
      </c>
      <c r="G34" s="26"/>
    </row>
    <row r="35" spans="1:7" x14ac:dyDescent="0.25">
      <c r="A35" s="1" t="s">
        <v>197</v>
      </c>
      <c r="B35" s="1" t="s">
        <v>198</v>
      </c>
      <c r="C35" s="46">
        <v>1</v>
      </c>
      <c r="D35" s="39">
        <v>2300</v>
      </c>
      <c r="E35" s="47">
        <f>$B$4</f>
        <v>7</v>
      </c>
      <c r="F35" s="38">
        <f>C35*D35*E35*(1+$B$6)</f>
        <v>22862</v>
      </c>
      <c r="G35" s="1" t="s">
        <v>134</v>
      </c>
    </row>
    <row r="36" spans="1:7" x14ac:dyDescent="0.25">
      <c r="A36" s="1" t="s">
        <v>197</v>
      </c>
      <c r="B36" s="1" t="s">
        <v>199</v>
      </c>
      <c r="C36" s="46">
        <v>1</v>
      </c>
      <c r="D36" s="39">
        <v>2400</v>
      </c>
      <c r="E36" s="47">
        <f>$B$4</f>
        <v>7</v>
      </c>
      <c r="F36" s="38">
        <f>C36*D36*E36*(1+$B$6)</f>
        <v>23856</v>
      </c>
      <c r="G36" s="1" t="s">
        <v>134</v>
      </c>
    </row>
    <row r="37" spans="1:7" x14ac:dyDescent="0.25">
      <c r="A37" s="1"/>
      <c r="B37" s="1"/>
      <c r="C37" s="1"/>
      <c r="D37" s="1"/>
      <c r="E37" s="1"/>
      <c r="F37" s="1"/>
      <c r="G37" s="1"/>
    </row>
    <row r="38" spans="1:7" ht="30" x14ac:dyDescent="0.25">
      <c r="A38" s="48" t="s">
        <v>200</v>
      </c>
      <c r="B38" s="49"/>
      <c r="C38" s="49"/>
      <c r="D38" s="49"/>
      <c r="E38" s="49"/>
      <c r="F38" s="50">
        <f>SUM(F39:F44)</f>
        <v>34932</v>
      </c>
      <c r="G38" s="49"/>
    </row>
    <row r="39" spans="1:7" x14ac:dyDescent="0.25">
      <c r="A39" s="1" t="s">
        <v>138</v>
      </c>
      <c r="B39" s="1" t="s">
        <v>201</v>
      </c>
      <c r="C39" s="46">
        <v>1</v>
      </c>
      <c r="D39" s="39">
        <v>1900</v>
      </c>
      <c r="E39" s="47">
        <f t="shared" ref="E39:E44" si="2">$B$5</f>
        <v>2</v>
      </c>
      <c r="F39" s="38">
        <f t="shared" ref="F39:F44" si="3">C39*D39*E39*(1+$B$6)</f>
        <v>5396</v>
      </c>
      <c r="G39" s="1" t="s">
        <v>207</v>
      </c>
    </row>
    <row r="40" spans="1:7" x14ac:dyDescent="0.25">
      <c r="A40" s="1" t="s">
        <v>138</v>
      </c>
      <c r="B40" s="1" t="s">
        <v>202</v>
      </c>
      <c r="C40" s="46">
        <v>1</v>
      </c>
      <c r="D40" s="39">
        <v>1800</v>
      </c>
      <c r="E40" s="47">
        <f t="shared" si="2"/>
        <v>2</v>
      </c>
      <c r="F40" s="38">
        <f t="shared" si="3"/>
        <v>5112</v>
      </c>
      <c r="G40" s="1" t="s">
        <v>207</v>
      </c>
    </row>
    <row r="41" spans="1:7" x14ac:dyDescent="0.25">
      <c r="A41" s="1" t="s">
        <v>150</v>
      </c>
      <c r="B41" s="1" t="s">
        <v>203</v>
      </c>
      <c r="C41" s="46">
        <v>1</v>
      </c>
      <c r="D41" s="39">
        <v>2300</v>
      </c>
      <c r="E41" s="47">
        <f t="shared" si="2"/>
        <v>2</v>
      </c>
      <c r="F41" s="38">
        <f t="shared" si="3"/>
        <v>6532</v>
      </c>
      <c r="G41" s="1" t="s">
        <v>207</v>
      </c>
    </row>
    <row r="42" spans="1:7" x14ac:dyDescent="0.25">
      <c r="A42" s="1" t="s">
        <v>150</v>
      </c>
      <c r="B42" s="1" t="s">
        <v>204</v>
      </c>
      <c r="C42" s="46">
        <v>1</v>
      </c>
      <c r="D42" s="39">
        <v>1900</v>
      </c>
      <c r="E42" s="47">
        <f t="shared" si="2"/>
        <v>2</v>
      </c>
      <c r="F42" s="38">
        <f t="shared" si="3"/>
        <v>5396</v>
      </c>
      <c r="G42" s="1" t="s">
        <v>207</v>
      </c>
    </row>
    <row r="43" spans="1:7" x14ac:dyDescent="0.25">
      <c r="A43" s="1" t="s">
        <v>145</v>
      </c>
      <c r="B43" s="1" t="s">
        <v>205</v>
      </c>
      <c r="C43" s="46">
        <v>1</v>
      </c>
      <c r="D43" s="39">
        <v>2100</v>
      </c>
      <c r="E43" s="47">
        <f t="shared" si="2"/>
        <v>2</v>
      </c>
      <c r="F43" s="38">
        <f t="shared" si="3"/>
        <v>5964</v>
      </c>
      <c r="G43" s="1" t="s">
        <v>207</v>
      </c>
    </row>
    <row r="44" spans="1:7" x14ac:dyDescent="0.25">
      <c r="A44" s="1" t="s">
        <v>197</v>
      </c>
      <c r="B44" s="1" t="s">
        <v>206</v>
      </c>
      <c r="C44" s="46">
        <v>1</v>
      </c>
      <c r="D44" s="39">
        <v>2300</v>
      </c>
      <c r="E44" s="47">
        <f t="shared" si="2"/>
        <v>2</v>
      </c>
      <c r="F44" s="38">
        <f t="shared" si="3"/>
        <v>6532</v>
      </c>
      <c r="G44" s="1" t="s">
        <v>207</v>
      </c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06" t="s">
        <v>404</v>
      </c>
      <c r="B46" s="52"/>
      <c r="C46" s="52"/>
      <c r="D46" s="52"/>
      <c r="E46" s="52"/>
      <c r="F46" s="52"/>
      <c r="G46" s="52"/>
    </row>
    <row r="47" spans="1:7" ht="30" x14ac:dyDescent="0.25">
      <c r="A47" s="31" t="s">
        <v>405</v>
      </c>
      <c r="B47" s="1"/>
      <c r="C47" s="53">
        <f>SUM(C10:C13)+SUM(C16:C21)+SUM(C24:C25)+SUM(C28:C32)+SUM(C35:C36)+SUM(C39:C44)+SUM(C62:C68)</f>
        <v>55</v>
      </c>
      <c r="D47" s="1"/>
      <c r="E47" s="1"/>
      <c r="F47" s="1"/>
      <c r="G47" s="1"/>
    </row>
    <row r="48" spans="1:7" ht="15.75" x14ac:dyDescent="0.25">
      <c r="A48" s="30" t="s">
        <v>406</v>
      </c>
      <c r="B48" s="1"/>
      <c r="C48" s="31">
        <f>SUM(C73:C77)</f>
        <v>12</v>
      </c>
      <c r="D48" s="1"/>
      <c r="E48" s="1"/>
      <c r="F48" s="54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ht="30" x14ac:dyDescent="0.25">
      <c r="A50" s="106" t="s">
        <v>407</v>
      </c>
      <c r="B50" s="37"/>
      <c r="C50" s="1"/>
      <c r="D50" s="1"/>
      <c r="E50" s="1"/>
      <c r="F50" s="107" t="s">
        <v>408</v>
      </c>
      <c r="G50" s="1"/>
    </row>
    <row r="51" spans="1:7" ht="30" x14ac:dyDescent="0.25">
      <c r="A51" s="1" t="s">
        <v>157</v>
      </c>
      <c r="B51" s="1"/>
      <c r="C51" s="1"/>
      <c r="D51" s="1"/>
      <c r="E51" s="1"/>
      <c r="F51" s="108">
        <f>F9</f>
        <v>130214</v>
      </c>
      <c r="G51" s="1"/>
    </row>
    <row r="52" spans="1:7" ht="30" x14ac:dyDescent="0.25">
      <c r="A52" s="1" t="s">
        <v>264</v>
      </c>
      <c r="B52" s="1"/>
      <c r="C52" s="1"/>
      <c r="D52" s="1"/>
      <c r="E52" s="1"/>
      <c r="F52" s="108">
        <f>F15</f>
        <v>253470</v>
      </c>
      <c r="G52" s="1"/>
    </row>
    <row r="53" spans="1:7" x14ac:dyDescent="0.25">
      <c r="A53" s="1" t="s">
        <v>158</v>
      </c>
      <c r="B53" s="1"/>
      <c r="C53" s="1"/>
      <c r="D53" s="1"/>
      <c r="E53" s="1"/>
      <c r="F53" s="108">
        <f>F23</f>
        <v>44730</v>
      </c>
      <c r="G53" s="1"/>
    </row>
    <row r="54" spans="1:7" x14ac:dyDescent="0.25">
      <c r="A54" s="1" t="s">
        <v>150</v>
      </c>
      <c r="B54" s="1"/>
      <c r="C54" s="1"/>
      <c r="D54" s="1"/>
      <c r="E54" s="1"/>
      <c r="F54" s="108">
        <f>F27</f>
        <v>238560</v>
      </c>
      <c r="G54" s="1"/>
    </row>
    <row r="55" spans="1:7" x14ac:dyDescent="0.25">
      <c r="A55" s="1" t="s">
        <v>208</v>
      </c>
      <c r="B55" s="1"/>
      <c r="C55" s="1"/>
      <c r="D55" s="1"/>
      <c r="E55" s="1"/>
      <c r="F55" s="108">
        <f>F34</f>
        <v>46718</v>
      </c>
      <c r="G55" s="1"/>
    </row>
    <row r="56" spans="1:7" x14ac:dyDescent="0.25">
      <c r="A56" s="1" t="s">
        <v>209</v>
      </c>
      <c r="B56" s="1"/>
      <c r="C56" s="1"/>
      <c r="D56" s="1"/>
      <c r="E56" s="1"/>
      <c r="F56" s="108">
        <f>F38</f>
        <v>34932</v>
      </c>
      <c r="G56" s="1"/>
    </row>
    <row r="57" spans="1:7" ht="30" x14ac:dyDescent="0.25">
      <c r="A57" s="51" t="s">
        <v>409</v>
      </c>
      <c r="B57" s="1"/>
      <c r="C57" s="1"/>
      <c r="D57" s="1"/>
      <c r="E57" s="1"/>
      <c r="F57" s="109">
        <f>F69</f>
        <v>330008</v>
      </c>
      <c r="G57" s="1"/>
    </row>
    <row r="58" spans="1:7" x14ac:dyDescent="0.25">
      <c r="A58" s="31" t="s">
        <v>410</v>
      </c>
      <c r="B58" s="1"/>
      <c r="C58" s="1"/>
      <c r="D58" s="1"/>
      <c r="E58" s="1"/>
      <c r="F58" s="110">
        <f>SUM(F51:F57)</f>
        <v>1078632</v>
      </c>
      <c r="G58" s="1"/>
    </row>
    <row r="59" spans="1:7" x14ac:dyDescent="0.25">
      <c r="A59" s="30" t="s">
        <v>411</v>
      </c>
      <c r="B59" s="1"/>
      <c r="C59" s="1"/>
      <c r="D59" s="1"/>
      <c r="E59" s="1"/>
      <c r="F59" s="99">
        <f>F78</f>
        <v>102240</v>
      </c>
      <c r="G59" s="1"/>
    </row>
    <row r="60" spans="1:7" x14ac:dyDescent="0.25">
      <c r="A60" s="6" t="s">
        <v>412</v>
      </c>
      <c r="F60" s="111">
        <f>F58+F59</f>
        <v>1180872</v>
      </c>
    </row>
    <row r="61" spans="1:7" x14ac:dyDescent="0.25">
      <c r="A61" s="8" t="s">
        <v>379</v>
      </c>
    </row>
    <row r="62" spans="1:7" x14ac:dyDescent="0.25">
      <c r="A62" t="s">
        <v>380</v>
      </c>
      <c r="B62" t="s">
        <v>381</v>
      </c>
      <c r="C62">
        <v>4</v>
      </c>
      <c r="D62" s="63">
        <v>2000</v>
      </c>
      <c r="E62">
        <f>$B$4</f>
        <v>7</v>
      </c>
      <c r="F62" s="74">
        <f>C62*D62*E62*(1+$B$6)</f>
        <v>79520</v>
      </c>
      <c r="G62" t="s">
        <v>382</v>
      </c>
    </row>
    <row r="63" spans="1:7" x14ac:dyDescent="0.25">
      <c r="A63" t="s">
        <v>383</v>
      </c>
      <c r="B63" t="s">
        <v>384</v>
      </c>
      <c r="C63">
        <v>3</v>
      </c>
      <c r="D63" s="63">
        <v>1900</v>
      </c>
      <c r="E63">
        <f>$B$4</f>
        <v>7</v>
      </c>
      <c r="F63" s="74">
        <f>C63*D63*E63*(1+$B$6)</f>
        <v>56658</v>
      </c>
      <c r="G63" t="s">
        <v>382</v>
      </c>
    </row>
    <row r="64" spans="1:7" x14ac:dyDescent="0.25">
      <c r="A64" t="s">
        <v>383</v>
      </c>
      <c r="B64" t="s">
        <v>385</v>
      </c>
      <c r="C64">
        <v>2</v>
      </c>
      <c r="D64" s="63">
        <v>1900</v>
      </c>
      <c r="E64">
        <f>$B$4</f>
        <v>7</v>
      </c>
      <c r="F64" s="74">
        <f>C64*D64*E64*(1+$B$6)</f>
        <v>37772</v>
      </c>
      <c r="G64" t="s">
        <v>382</v>
      </c>
    </row>
    <row r="65" spans="1:7" x14ac:dyDescent="0.25">
      <c r="A65" t="s">
        <v>383</v>
      </c>
      <c r="B65" t="s">
        <v>386</v>
      </c>
      <c r="C65">
        <v>1</v>
      </c>
      <c r="D65" s="63">
        <v>2000</v>
      </c>
      <c r="E65">
        <f>$B$4</f>
        <v>7</v>
      </c>
      <c r="F65" s="74">
        <f>C65*D65*E65*(1+$B$6)</f>
        <v>19880</v>
      </c>
      <c r="G65" t="s">
        <v>382</v>
      </c>
    </row>
    <row r="66" spans="1:7" x14ac:dyDescent="0.25">
      <c r="A66" t="s">
        <v>387</v>
      </c>
      <c r="B66" t="s">
        <v>388</v>
      </c>
      <c r="C66">
        <v>2</v>
      </c>
      <c r="D66" s="63">
        <v>1800</v>
      </c>
      <c r="E66">
        <f>$B$4</f>
        <v>7</v>
      </c>
      <c r="F66" s="74">
        <f>C66*D66*E66*(1+$B$6)</f>
        <v>35784</v>
      </c>
      <c r="G66" t="s">
        <v>382</v>
      </c>
    </row>
    <row r="67" spans="1:7" x14ac:dyDescent="0.25">
      <c r="A67" t="s">
        <v>389</v>
      </c>
      <c r="B67" t="s">
        <v>390</v>
      </c>
      <c r="C67">
        <v>2</v>
      </c>
      <c r="D67" s="63">
        <v>1900</v>
      </c>
      <c r="E67">
        <f>$B$4</f>
        <v>7</v>
      </c>
      <c r="F67" s="74">
        <f>C67*D67*E67*(1+$B$6)</f>
        <v>37772</v>
      </c>
      <c r="G67" t="s">
        <v>382</v>
      </c>
    </row>
    <row r="68" spans="1:7" x14ac:dyDescent="0.25">
      <c r="A68" t="s">
        <v>145</v>
      </c>
      <c r="B68" t="s">
        <v>391</v>
      </c>
      <c r="C68">
        <v>3</v>
      </c>
      <c r="D68" s="63">
        <v>2100</v>
      </c>
      <c r="E68">
        <f>$B$4</f>
        <v>7</v>
      </c>
      <c r="F68" s="74">
        <f>C68*D68*E68*(1+$B$6)</f>
        <v>62622</v>
      </c>
      <c r="G68" t="s">
        <v>382</v>
      </c>
    </row>
    <row r="69" spans="1:7" x14ac:dyDescent="0.25">
      <c r="A69" s="3" t="s">
        <v>392</v>
      </c>
      <c r="F69" s="76">
        <f>SUM(F62:F68)</f>
        <v>330008</v>
      </c>
    </row>
    <row r="71" spans="1:7" x14ac:dyDescent="0.25">
      <c r="A71" s="9" t="s">
        <v>393</v>
      </c>
    </row>
    <row r="72" spans="1:7" x14ac:dyDescent="0.25">
      <c r="A72" t="s">
        <v>394</v>
      </c>
      <c r="B72" s="69">
        <v>3</v>
      </c>
    </row>
    <row r="73" spans="1:7" x14ac:dyDescent="0.25">
      <c r="A73" t="s">
        <v>395</v>
      </c>
      <c r="B73" t="s">
        <v>396</v>
      </c>
      <c r="C73">
        <v>1</v>
      </c>
      <c r="D73" s="63">
        <v>3000</v>
      </c>
      <c r="E73">
        <f>$B$72</f>
        <v>3</v>
      </c>
      <c r="F73" s="74">
        <f>C73*D73*E73*(1+$B$6)</f>
        <v>12780</v>
      </c>
      <c r="G73" t="s">
        <v>397</v>
      </c>
    </row>
    <row r="74" spans="1:7" x14ac:dyDescent="0.25">
      <c r="A74" t="s">
        <v>398</v>
      </c>
      <c r="B74" t="s">
        <v>399</v>
      </c>
      <c r="C74">
        <v>3</v>
      </c>
      <c r="D74" s="63">
        <v>1800</v>
      </c>
      <c r="E74">
        <f>$B$72</f>
        <v>3</v>
      </c>
      <c r="F74" s="74">
        <f>C74*D74*E74*(1+$B$6)</f>
        <v>23004</v>
      </c>
      <c r="G74" t="s">
        <v>397</v>
      </c>
    </row>
    <row r="75" spans="1:7" x14ac:dyDescent="0.25">
      <c r="A75" t="s">
        <v>389</v>
      </c>
      <c r="B75" t="s">
        <v>400</v>
      </c>
      <c r="C75">
        <v>4</v>
      </c>
      <c r="D75" s="63">
        <v>1900</v>
      </c>
      <c r="E75">
        <f>$B$72</f>
        <v>3</v>
      </c>
      <c r="F75" s="74">
        <f>C75*D75*E75*(1+$B$6)</f>
        <v>32376</v>
      </c>
      <c r="G75" t="s">
        <v>397</v>
      </c>
    </row>
    <row r="76" spans="1:7" x14ac:dyDescent="0.25">
      <c r="A76" t="s">
        <v>145</v>
      </c>
      <c r="B76" t="s">
        <v>401</v>
      </c>
      <c r="C76">
        <v>2</v>
      </c>
      <c r="D76" s="63">
        <v>2100</v>
      </c>
      <c r="E76">
        <f>$B$72</f>
        <v>3</v>
      </c>
      <c r="F76" s="74">
        <f>C76*D76*E76*(1+$B$6)</f>
        <v>17892</v>
      </c>
      <c r="G76" t="s">
        <v>397</v>
      </c>
    </row>
    <row r="77" spans="1:7" x14ac:dyDescent="0.25">
      <c r="A77" t="s">
        <v>142</v>
      </c>
      <c r="B77" t="s">
        <v>402</v>
      </c>
      <c r="C77">
        <v>2</v>
      </c>
      <c r="D77" s="63">
        <v>1900</v>
      </c>
      <c r="E77">
        <f>$B$72</f>
        <v>3</v>
      </c>
      <c r="F77" s="74">
        <f>C77*D77*E77*(1+$B$6)</f>
        <v>16188</v>
      </c>
      <c r="G77" t="s">
        <v>397</v>
      </c>
    </row>
    <row r="78" spans="1:7" x14ac:dyDescent="0.25">
      <c r="A78" s="3" t="s">
        <v>403</v>
      </c>
      <c r="F78" s="76">
        <f>SUM(F73:F77)</f>
        <v>102240</v>
      </c>
    </row>
    <row r="82" spans="1:6" x14ac:dyDescent="0.25">
      <c r="A82" s="8" t="s">
        <v>413</v>
      </c>
      <c r="B82" s="86" t="s">
        <v>50</v>
      </c>
      <c r="C82" s="86" t="s">
        <v>51</v>
      </c>
      <c r="D82" s="86" t="s">
        <v>52</v>
      </c>
      <c r="E82" s="86" t="s">
        <v>53</v>
      </c>
      <c r="F82" s="86" t="s">
        <v>54</v>
      </c>
    </row>
    <row r="83" spans="1:6" x14ac:dyDescent="0.25">
      <c r="A83" t="s">
        <v>414</v>
      </c>
      <c r="B83" s="74">
        <f>$F$60</f>
        <v>1180872</v>
      </c>
      <c r="C83" s="74">
        <f>$F$60</f>
        <v>1180872</v>
      </c>
      <c r="D83" s="74">
        <f>$F$60</f>
        <v>1180872</v>
      </c>
      <c r="E83" s="74">
        <f>$F$60</f>
        <v>1180872</v>
      </c>
      <c r="F83" s="74">
        <f>$F$60</f>
        <v>1180872</v>
      </c>
    </row>
    <row r="84" spans="1:6" x14ac:dyDescent="0.25">
      <c r="A84" t="s">
        <v>415</v>
      </c>
      <c r="B84" s="81">
        <f>'Prévisionnel Revenus'!B56</f>
        <v>4223707.5</v>
      </c>
      <c r="C84" s="81">
        <f>'Prévisionnel Revenus'!C56</f>
        <v>5951925</v>
      </c>
      <c r="D84" s="81">
        <f>'Prévisionnel Revenus'!D56</f>
        <v>7024112.5</v>
      </c>
      <c r="E84" s="81">
        <f>'Prévisionnel Revenus'!E56</f>
        <v>8462752</v>
      </c>
      <c r="F84" s="81">
        <f>'Prévisionnel Revenus'!F56</f>
        <v>9924467.5</v>
      </c>
    </row>
    <row r="85" spans="1:6" x14ac:dyDescent="0.25">
      <c r="A85" s="3" t="s">
        <v>416</v>
      </c>
      <c r="B85" s="77">
        <f>B83/B84</f>
        <v>0.27958186024955561</v>
      </c>
      <c r="C85" s="77">
        <f>C83/C84</f>
        <v>0.19840169356972745</v>
      </c>
      <c r="D85" s="77">
        <f>D83/D84</f>
        <v>0.16811689733044566</v>
      </c>
      <c r="E85" s="77">
        <f>E83/E84</f>
        <v>0.13953758777286632</v>
      </c>
      <c r="F85" s="77">
        <f>F83/F84</f>
        <v>0.11898593047939347</v>
      </c>
    </row>
  </sheetData>
  <mergeCells count="2">
    <mergeCell ref="A1:G1"/>
    <mergeCell ref="A3:B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E792-9C2A-42B3-98DF-0C5986A183CE}">
  <dimension ref="A1:E22"/>
  <sheetViews>
    <sheetView workbookViewId="0"/>
  </sheetViews>
  <sheetFormatPr baseColWidth="10" defaultRowHeight="15" x14ac:dyDescent="0.25"/>
  <cols>
    <col min="1" max="1" width="43.85546875" customWidth="1"/>
  </cols>
  <sheetData>
    <row r="1" spans="1:5" ht="17.25" x14ac:dyDescent="0.3">
      <c r="A1" s="60">
        <v>0.3</v>
      </c>
    </row>
    <row r="2" spans="1:5" x14ac:dyDescent="0.25">
      <c r="A2" s="112" t="s">
        <v>417</v>
      </c>
    </row>
    <row r="3" spans="1:5" x14ac:dyDescent="0.25">
      <c r="A3" s="9" t="s">
        <v>418</v>
      </c>
    </row>
    <row r="4" spans="1:5" x14ac:dyDescent="0.25">
      <c r="A4" t="s">
        <v>419</v>
      </c>
      <c r="B4" s="66">
        <v>45</v>
      </c>
    </row>
    <row r="5" spans="1:5" x14ac:dyDescent="0.25">
      <c r="A5" t="s">
        <v>420</v>
      </c>
      <c r="B5" s="66">
        <v>40000</v>
      </c>
    </row>
    <row r="6" spans="1:5" x14ac:dyDescent="0.25">
      <c r="A6" s="3" t="s">
        <v>238</v>
      </c>
      <c r="B6" s="76">
        <f>B5/B4</f>
        <v>888.88888888888891</v>
      </c>
    </row>
    <row r="8" spans="1:5" x14ac:dyDescent="0.25">
      <c r="A8" s="9" t="s">
        <v>421</v>
      </c>
      <c r="B8" s="86" t="s">
        <v>422</v>
      </c>
      <c r="C8" s="86" t="s">
        <v>423</v>
      </c>
      <c r="D8" s="86" t="s">
        <v>424</v>
      </c>
      <c r="E8" s="86" t="s">
        <v>240</v>
      </c>
    </row>
    <row r="9" spans="1:5" x14ac:dyDescent="0.25">
      <c r="A9" t="s">
        <v>425</v>
      </c>
      <c r="B9" s="72">
        <f>D9*$B$6*C9*$B$4</f>
        <v>144000</v>
      </c>
      <c r="C9" s="88">
        <v>8</v>
      </c>
      <c r="D9" s="89">
        <v>0.45</v>
      </c>
      <c r="E9" t="s">
        <v>426</v>
      </c>
    </row>
    <row r="10" spans="1:5" x14ac:dyDescent="0.25">
      <c r="A10" t="s">
        <v>427</v>
      </c>
      <c r="B10" s="72">
        <f>D10*$B$6*C10*$B$4</f>
        <v>144000</v>
      </c>
      <c r="C10" s="88">
        <v>6</v>
      </c>
      <c r="D10" s="89">
        <v>0.6</v>
      </c>
      <c r="E10" t="s">
        <v>428</v>
      </c>
    </row>
    <row r="11" spans="1:5" x14ac:dyDescent="0.25">
      <c r="A11" t="s">
        <v>429</v>
      </c>
      <c r="B11" s="72">
        <f>D11*$B$6*C11*$B$4</f>
        <v>320000</v>
      </c>
      <c r="C11" s="88">
        <v>8</v>
      </c>
      <c r="D11" s="89">
        <v>1</v>
      </c>
      <c r="E11" t="s">
        <v>426</v>
      </c>
    </row>
    <row r="12" spans="1:5" x14ac:dyDescent="0.25">
      <c r="A12" t="s">
        <v>430</v>
      </c>
      <c r="B12" s="72">
        <f>C12</f>
        <v>25000</v>
      </c>
      <c r="C12" s="66">
        <v>25000</v>
      </c>
      <c r="E12" t="s">
        <v>431</v>
      </c>
    </row>
    <row r="13" spans="1:5" x14ac:dyDescent="0.25">
      <c r="A13" t="s">
        <v>432</v>
      </c>
      <c r="B13" s="72">
        <f>C13*D13</f>
        <v>45000</v>
      </c>
      <c r="C13" s="66">
        <v>1500</v>
      </c>
      <c r="D13" s="66">
        <v>30</v>
      </c>
      <c r="E13" t="s">
        <v>433</v>
      </c>
    </row>
    <row r="14" spans="1:5" x14ac:dyDescent="0.25">
      <c r="A14" s="3" t="s">
        <v>434</v>
      </c>
      <c r="B14" s="62">
        <f>SUM(B9:B13)</f>
        <v>678000</v>
      </c>
    </row>
    <row r="16" spans="1:5" x14ac:dyDescent="0.25">
      <c r="A16" s="9" t="s">
        <v>435</v>
      </c>
    </row>
    <row r="17" spans="1:5" x14ac:dyDescent="0.25">
      <c r="A17" t="s">
        <v>436</v>
      </c>
      <c r="B17" s="72">
        <f>C17</f>
        <v>60000</v>
      </c>
      <c r="C17" s="66">
        <v>60000</v>
      </c>
      <c r="E17" t="s">
        <v>437</v>
      </c>
    </row>
    <row r="18" spans="1:5" x14ac:dyDescent="0.25">
      <c r="A18" t="s">
        <v>438</v>
      </c>
      <c r="B18" s="113">
        <f>Personnel!F78</f>
        <v>102240</v>
      </c>
      <c r="E18" t="s">
        <v>439</v>
      </c>
    </row>
    <row r="19" spans="1:5" x14ac:dyDescent="0.25">
      <c r="A19" t="s">
        <v>440</v>
      </c>
      <c r="B19" s="72">
        <f>C19</f>
        <v>40000</v>
      </c>
      <c r="C19" s="66">
        <v>40000</v>
      </c>
      <c r="E19" t="s">
        <v>441</v>
      </c>
    </row>
    <row r="20" spans="1:5" x14ac:dyDescent="0.25">
      <c r="A20" s="3" t="s">
        <v>442</v>
      </c>
      <c r="B20" s="62">
        <f>SUM(B17:B19)</f>
        <v>202240</v>
      </c>
    </row>
    <row r="22" spans="1:5" ht="15.75" x14ac:dyDescent="0.25">
      <c r="A22" s="97" t="s">
        <v>443</v>
      </c>
      <c r="B22" s="98">
        <f>B14-B20</f>
        <v>475760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Synthèse V5</vt:lpstr>
      <vt:lpstr>Plan Investissement</vt:lpstr>
      <vt:lpstr>Phasage Investissement</vt:lpstr>
      <vt:lpstr>Calendrier Ouverture</vt:lpstr>
      <vt:lpstr>Prévisionnel Revenus</vt:lpstr>
      <vt:lpstr>Revenus Phase 1</vt:lpstr>
      <vt:lpstr>Personnel</vt:lpstr>
      <vt:lpstr>Bloc Hiver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L'ollierou</dc:creator>
  <cp:lastModifiedBy>Johan L'ollierou</cp:lastModifiedBy>
  <cp:lastPrinted>2026-04-16T15:34:01Z</cp:lastPrinted>
  <dcterms:created xsi:type="dcterms:W3CDTF">2026-04-08T10:18:09Z</dcterms:created>
  <dcterms:modified xsi:type="dcterms:W3CDTF">2026-06-25T10:37:23Z</dcterms:modified>
</cp:coreProperties>
</file>